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tabRatio="947" firstSheet="15"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<sst xmlns="http://schemas.openxmlformats.org/spreadsheetml/2006/main" count="1185" uniqueCount="519">
  <si>
    <t>2023年部门预算公开表</t>
  </si>
  <si>
    <t>单位编码：</t>
  </si>
  <si>
    <t>单位名称：</t>
  </si>
  <si>
    <t>益阳市赫山区新市渡镇卫生院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</si>
  <si>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</si>
  <si>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</si>
  <si>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</si>
  <si>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</si>
  <si>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</si>
  <si>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</si>
  <si>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</si>
  <si>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</si>
  <si>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</si>
  <si>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</si>
  <si>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</si>
  <si>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</si>
  <si>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</si>
  <si>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</si>
  <si>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</si>
  <si>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</si>
  <si>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</si>
  <si>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</si>
  <si>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</si>
  <si>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</si>
  <si>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</si>
  <si>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</si>
  <si>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</si>
  <si>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</si>
  <si>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</si>
  <si>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</si>
  <si>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</si>
  <si>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</si>
  <si>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</si>
  <si>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</si>
  <si>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</si>
  <si>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</si>
  <si>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</si>
  <si>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</si>
  <si>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</si>
  <si>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</si>
  <si>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</si>
  <si>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</si>
  <si>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</si>
  <si>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</si>
  <si>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</si>
  <si>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</si>
  <si>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</si>
  <si>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</si>
  <si>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</si>
  <si>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</si>
  <si>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</si>
  <si>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</si>
  <si>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</si>
  <si>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</si>
  <si>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</si>
  <si>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</si>
  <si>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</si>
  <si>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</si>
  <si>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</si>
  <si>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</si>
  <si>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</si>
  <si>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</si>
  <si>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</si>
  <si>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</si>
  <si>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</si>
  <si>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</si>
  <si>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</si>
  <si>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</si>
  <si>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</si>
  <si>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</si>
  <si>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</si>
  <si>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</si>
  <si>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</si>
  <si>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</si>
  <si>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</si>
  <si>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</si>
  <si>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</si>
  <si>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</si>
  <si>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</si>
  <si>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</si>
  <si>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</si>
  <si>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</si>
  <si>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</si>
  <si>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</si>
  <si>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</si>
  <si>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</si>
  <si>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</si>
  <si>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</si>
  <si>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</si>
  <si>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</si>
  <si>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</si>
  <si>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</si>
  <si>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</si>
  <si>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</si>
  <si>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</si>
  <si>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</si>
  <si>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</si>
  <si>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</si>
  <si>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</si>
  <si>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</si>
  <si>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</si>
  <si>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</si>
  <si>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</si>
  <si>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</si>
  <si>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</si>
  <si>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</si>
  <si>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</si>
  <si>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</si>
  <si>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</si>
  <si>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</si>
  <si>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</si>
  <si>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</si>
  <si>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</si>
  <si>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</si>
  <si>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</si>
  <si>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</si>
  <si>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</si>
  <si>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</si>
  <si>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</si>
  <si>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</si>
  <si>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</si>
  <si>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</si>
  <si>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</si>
  <si>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</si>
  <si>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</si>
  <si>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</si>
  <si>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</si>
  <si>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</si>
  <si>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</si>
  <si>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</si>
  <si>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</si>
  <si>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</si>
  <si>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黄色的是要填的项目</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</si>
  <si>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</si>
  <si>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</si>
  <si>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</si>
  <si>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</si>
  <si>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</si>
  <si>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</si>
  <si>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</si>
  <si>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</si>
  <si>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</si>
  <si>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</si>
  <si>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</si>
  <si>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</si>
  <si>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</si>
  <si>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</si>
  <si>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</si>
  <si>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</si>
  <si>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</si>
  <si>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</si>
  <si>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</si>
  <si>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</si>
  <si>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</si>
  <si>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</si>
  <si>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</si>
  <si>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</si>
  <si>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</si>
  <si>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</si>
  <si>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</si>
  <si>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</si>
  <si>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</si>
  <si>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</si>
  <si>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</si>
  <si>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</si>
  <si>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</si>
  <si>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</si>
  <si>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</si>
  <si>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</si>
  <si>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</si>
  <si>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</si>
  <si>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</si>
  <si>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</si>
  <si>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</si>
  <si>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</si>
  <si>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</si>
  <si>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</si>
  <si>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</si>
  <si>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</si>
  <si>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</si>
  <si>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</si>
  <si>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</si>
  <si>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</si>
  <si>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</si>
  <si>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</si>
  <si>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</si>
  <si>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</si>
  <si>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</si>
  <si>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</si>
  <si>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</si>
  <si>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</si>
  <si>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</si>
  <si>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</si>
  <si>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</si>
  <si>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</si>
  <si>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</si>
  <si>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</si>
  <si>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</si>
  <si>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</si>
  <si>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</si>
  <si>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</si>
  <si>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</si>
  <si>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</si>
  <si>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</si>
  <si>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</si>
  <si>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</si>
  <si>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</si>
  <si>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</si>
  <si>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</si>
  <si>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</si>
  <si>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</si>
  <si>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</si>
  <si>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</si>
  <si>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</si>
  <si>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</si>
  <si>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</si>
  <si>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</si>
  <si>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</si>
  <si>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</si>
  <si>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</si>
  <si>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</si>
  <si>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</si>
  <si>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</si>
  <si>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</si>
  <si>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</si>
  <si>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</si>
  <si>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</si>
  <si>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</si>
  <si>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</si>
  <si>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</si>
  <si>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</si>
  <si>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</si>
  <si>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</si>
  <si>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</si>
  <si>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</si>
  <si>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</si>
  <si>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</si>
  <si>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</si>
  <si>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</si>
  <si>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</si>
  <si>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</si>
  <si>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</si>
  <si>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</si>
  <si>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</si>
  <si>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</si>
  <si>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</si>
  <si>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</si>
  <si>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</si>
  <si>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</si>
  <si>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</si>
  <si>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</si>
  <si>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</si>
  <si>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</si>
  <si>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</si>
  <si>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</si>
  <si>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</si>
  <si>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</si>
  <si>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</si>
  <si>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</si>
  <si>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</si>
  <si>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</si>
  <si>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一般公共预算基本支出表（纵向）</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</si>
  <si>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</si>
  <si>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</si>
  <si>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</si>
  <si>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</si>
  <si>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</si>
  <si>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</si>
  <si>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</si>
  <si>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</si>
  <si>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</si>
  <si>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</si>
  <si>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</si>
  <si>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</si>
  <si>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</si>
  <si>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</si>
  <si>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</si>
  <si>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</si>
  <si>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</si>
  <si>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</si>
  <si>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</si>
  <si>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</si>
  <si>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</si>
  <si>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</si>
  <si>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</si>
  <si>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</si>
  <si>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</si>
  <si>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</si>
  <si>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</si>
  <si>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</si>
  <si>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</si>
  <si>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</si>
  <si>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</si>
  <si>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</si>
  <si>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</si>
  <si>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</si>
  <si>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</si>
  <si>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</si>
  <si>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</si>
  <si>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</si>
  <si>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</si>
  <si>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</si>
  <si>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</si>
  <si>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</si>
  <si>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</si>
  <si>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一般公共预算基本支出表（横向）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</si>
  <si>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</si>
  <si>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</si>
  <si>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</si>
  <si>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</si>
  <si>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</si>
  <si>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</si>
  <si>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</si>
  <si>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</si>
  <si>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</si>
  <si>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</si>
  <si>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</si>
  <si>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</si>
  <si>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</si>
  <si>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</si>
  <si>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</si>
  <si>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</si>
  <si>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</si>
  <si>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</si>
  <si>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</si>
  <si>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</si>
  <si>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</si>
  <si>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</si>
  <si>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</si>
  <si>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</si>
  <si>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</si>
  <si>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</si>
  <si>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</si>
  <si>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</si>
  <si>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</si>
  <si>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</si>
  <si>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</si>
  <si>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</si>
  <si>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</si>
  <si>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</si>
  <si>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</si>
  <si>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</si>
  <si>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</si>
  <si>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</si>
  <si>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</si>
  <si>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</si>
  <si>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</si>
  <si>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</si>
  <si>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</si>
  <si>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</si>
  <si>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</si>
  <si>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</si>
  <si>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</si>
  <si>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</si>
  <si>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</si>
  <si>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</si>
  <si>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</si>
  <si>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</si>
  <si>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</si>
  <si>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</si>
  <si>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</si>
  <si>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</si>
  <si>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</si>
  <si>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</si>
  <si>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</si>
  <si>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</si>
  <si>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</si>
  <si>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</si>
  <si>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</si>
  <si>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</si>
  <si>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</si>
  <si>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</si>
  <si>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</si>
  <si>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</si>
  <si>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</si>
  <si>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</si>
  <si>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</si>
  <si>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</si>
  <si>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</si>
  <si>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</si>
  <si>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</si>
  <si>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</si>
  <si>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</si>
  <si>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</si>
  <si>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</si>
  <si>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</si>
  <si>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</si>
  <si>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</si>
  <si>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</si>
  <si>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</si>
  <si>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</si>
  <si>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</si>
  <si>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</si>
  <si>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</si>
  <si>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</si>
  <si>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</si>
  <si>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</si>
  <si>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</si>
  <si>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</si>
  <si>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</si>
  <si>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</si>
  <si>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</si>
  <si>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</si>
  <si>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</si>
  <si>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</si>
  <si>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</si>
  <si>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</si>
  <si>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</si>
  <si>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</si>
  <si>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</si>
  <si>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</si>
  <si>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</si>
  <si>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</si>
  <si>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</si>
  <si>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</si>
  <si>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</si>
  <si>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</si>
  <si>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</si>
  <si>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</si>
  <si>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</si>
  <si>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</si>
  <si>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</si>
  <si>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</si>
  <si>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</si>
  <si>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</si>
  <si>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</si>
  <si>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</si>
  <si>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</si>
  <si>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</si>
  <si>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</si>
  <si>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</si>
  <si>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</si>
  <si>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</si>
  <si>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</si>
  <si>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</si>
  <si>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</si>
  <si>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</si>
  <si>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</si>
  <si>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</si>
  <si>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</si>
  <si>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</si>
  <si>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</si>
  <si>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</si>
  <si>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</si>
  <si>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</si>
  <si>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</si>
  <si>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</si>
  <si>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</si>
  <si>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</si>
  <si>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</si>
  <si>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</si>
  <si>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</si>
  <si>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</si>
  <si>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</si>
  <si>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</si>
  <si>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</si>
  <si>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</si>
  <si>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</si>
  <si>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</si>
  <si>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</si>
  <si>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</si>
  <si>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</si>
  <si>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</si>
  <si>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</si>
  <si>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</si>
  <si>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</si>
  <si>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</si>
  <si>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</si>
  <si>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</si>
  <si>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</si>
  <si>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</si>
  <si>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</si>
  <si>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</si>
  <si>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</si>
  <si>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</si>
  <si>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</si>
  <si>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</si>
  <si>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</si>
  <si>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</si>
  <si>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</si>
  <si>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</si>
  <si>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</si>
  <si>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</si>
  <si>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</si>
  <si>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</si>
  <si>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</si>
  <si>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</si>
  <si>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</si>
  <si>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</si>
  <si>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</si>
  <si>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</si>
  <si>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</si>
  <si>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</si>
  <si>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 xml:space="preserve">1、负责本辖区的卫生工作、法律法规、政策的贯彻，卫生事业发展规划和工作计划的制定，为辖区居民提供14类基本公共卫生服务;
2、负责辖区突发公共卫生事件的报告，并依据上级单位要求组织实施处置等工作;
3、为辖区提供基本医疗服务，组织实施医改、农合、妇幼等相关工作:
4、负责本辖区卫生信息统计、分析、上报；
5、负责对辖区村级卫生组织和乡村医生的业务指导培训；
6、负责卫生行政主管单位委托的相关业务或事项，落实上级卫生主管单位下达的其他工作；
7、承办上级主管单位及政府交办的其他事项。
</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</si>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</sst>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 numFmtId="179" formatCode="#,##0.000000_ "/>
  </numFmts>
  <fonts count="39">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sz val="11"/>
      <name val="宋体"/>
      <charset val="1"/>
      <scheme val="minor"/>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4" borderId="11" applyNumberFormat="0" applyAlignment="0" applyProtection="0">
      <alignment vertical="center"/>
    </xf>
    <xf numFmtId="0" fontId="29" fillId="5" borderId="12" applyNumberFormat="0" applyAlignment="0" applyProtection="0">
      <alignment vertical="center"/>
    </xf>
    <xf numFmtId="0" fontId="30" fillId="5" borderId="11" applyNumberFormat="0" applyAlignment="0" applyProtection="0">
      <alignment vertical="center"/>
    </xf>
    <xf numFmtId="0" fontId="31" fillId="6"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3" fillId="0" borderId="0">
      <alignment vertical="center"/>
    </xf>
  </cellStyleXfs>
  <cellXfs count="110">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9" fillId="0" borderId="0"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vertical="center" wrapText="1"/>
    </xf>
    <xf numFmtId="4" fontId="10" fillId="0" borderId="1" xfId="0" applyNumberFormat="1" applyFont="1" applyFill="1" applyBorder="1" applyAlignment="1">
      <alignment vertical="center" wrapText="1"/>
    </xf>
    <xf numFmtId="0" fontId="10" fillId="0" borderId="1" xfId="0" applyFont="1" applyFill="1" applyBorder="1" applyAlignment="1">
      <alignment horizontal="left" vertical="center" wrapText="1"/>
    </xf>
    <xf numFmtId="4" fontId="11"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4" fontId="10" fillId="0" borderId="1" xfId="0"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 fontId="0" fillId="0" borderId="0" xfId="0" applyNumberFormat="1" applyFont="1" applyFill="1">
      <alignmen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2" fillId="0" borderId="0" xfId="0" applyFont="1" applyFill="1">
      <alignment vertical="center"/>
    </xf>
    <xf numFmtId="4" fontId="11" fillId="0" borderId="1" xfId="0" applyNumberFormat="1" applyFont="1" applyFill="1" applyBorder="1" applyAlignment="1">
      <alignment vertical="center" wrapText="1"/>
    </xf>
    <xf numFmtId="0" fontId="5" fillId="0" borderId="0" xfId="0" applyFont="1" applyFill="1" applyBorder="1" applyAlignment="1">
      <alignment horizontal="center" vertical="center" wrapText="1"/>
    </xf>
    <xf numFmtId="176" fontId="0" fillId="0" borderId="0" xfId="0" applyNumberFormat="1"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177" fontId="0" fillId="0" borderId="0" xfId="0" applyNumberFormat="1" applyFont="1" applyFill="1">
      <alignment vertical="center"/>
    </xf>
    <xf numFmtId="0" fontId="13" fillId="0" borderId="0" xfId="49" applyFont="1" applyFill="1">
      <alignment vertical="center"/>
    </xf>
    <xf numFmtId="0" fontId="5" fillId="0" borderId="0" xfId="49" applyFont="1" applyFill="1" applyBorder="1" applyAlignment="1">
      <alignment horizontal="center" vertical="center" wrapText="1"/>
    </xf>
    <xf numFmtId="0" fontId="14" fillId="0" borderId="0" xfId="49" applyFont="1" applyFill="1">
      <alignment vertical="center"/>
    </xf>
    <xf numFmtId="0" fontId="3" fillId="0" borderId="0" xfId="49" applyFont="1" applyFill="1" applyBorder="1" applyAlignment="1">
      <alignment vertical="center" wrapText="1"/>
    </xf>
    <xf numFmtId="0" fontId="4"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49" applyFont="1" applyFill="1" applyBorder="1" applyAlignment="1">
      <alignment vertical="center" wrapText="1"/>
    </xf>
    <xf numFmtId="178"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0" fontId="3" fillId="0" borderId="1" xfId="49" applyFont="1" applyFill="1" applyBorder="1" applyAlignment="1">
      <alignment horizontal="left" vertical="center" wrapText="1"/>
    </xf>
    <xf numFmtId="178" fontId="3" fillId="0" borderId="1" xfId="49"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178" fontId="3" fillId="0" borderId="1" xfId="49" applyNumberFormat="1" applyFont="1" applyFill="1" applyBorder="1" applyAlignment="1">
      <alignment horizontal="right" vertical="center" wrapText="1"/>
    </xf>
    <xf numFmtId="176" fontId="13" fillId="0" borderId="0" xfId="49" applyNumberFormat="1" applyFont="1" applyFill="1">
      <alignment vertical="center"/>
    </xf>
    <xf numFmtId="0" fontId="4" fillId="0" borderId="0" xfId="49" applyFont="1" applyFill="1" applyBorder="1" applyAlignment="1">
      <alignment horizontal="right" vertical="center" wrapText="1"/>
    </xf>
    <xf numFmtId="0" fontId="9" fillId="0" borderId="0" xfId="49" applyFont="1" applyFill="1" applyBorder="1" applyAlignment="1">
      <alignment horizontal="center" vertical="center" wrapText="1"/>
    </xf>
    <xf numFmtId="0" fontId="4" fillId="0" borderId="0" xfId="49" applyFont="1" applyFill="1" applyBorder="1" applyAlignment="1">
      <alignment vertical="center" wrapText="1"/>
    </xf>
    <xf numFmtId="0" fontId="3" fillId="0" borderId="0" xfId="49" applyFont="1" applyFill="1" applyBorder="1" applyAlignment="1">
      <alignment horizontal="right" vertical="center" wrapText="1"/>
    </xf>
    <xf numFmtId="0" fontId="3" fillId="0" borderId="1" xfId="49" applyFont="1" applyFill="1" applyBorder="1" applyAlignment="1">
      <alignment vertical="center" wrapText="1"/>
    </xf>
    <xf numFmtId="0" fontId="3" fillId="0" borderId="5"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vertical="center" wrapText="1"/>
    </xf>
    <xf numFmtId="49" fontId="11" fillId="0" borderId="6" xfId="0" applyNumberFormat="1"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vertical="center" wrapText="1"/>
    </xf>
    <xf numFmtId="4" fontId="11" fillId="0" borderId="6" xfId="0" applyNumberFormat="1" applyFont="1" applyFill="1" applyBorder="1" applyAlignment="1">
      <alignment vertical="center" wrapText="1"/>
    </xf>
    <xf numFmtId="0" fontId="0" fillId="0" borderId="7" xfId="0" applyFont="1" applyFill="1" applyBorder="1">
      <alignment vertical="center"/>
    </xf>
    <xf numFmtId="4" fontId="11" fillId="0" borderId="6" xfId="0" applyNumberFormat="1" applyFont="1" applyFill="1" applyBorder="1" applyAlignment="1">
      <alignment horizontal="right" vertical="center" wrapText="1"/>
    </xf>
    <xf numFmtId="0" fontId="15"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1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4" fontId="15" fillId="0" borderId="1" xfId="0" applyNumberFormat="1" applyFont="1" applyFill="1" applyBorder="1" applyAlignment="1">
      <alignment vertical="center" wrapText="1"/>
    </xf>
    <xf numFmtId="179" fontId="0" fillId="0" borderId="0" xfId="0" applyNumberFormat="1" applyFont="1" applyFill="1">
      <alignment vertical="center"/>
    </xf>
    <xf numFmtId="0" fontId="16"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3.5" outlineLevelRow="7"/>
  <cols>
    <col min="1" max="1" width="3.63333333333333" customWidth="1"/>
    <col min="2" max="2" width="3.75" customWidth="1"/>
    <col min="3" max="3" width="4.63333333333333" customWidth="1"/>
    <col min="4" max="4" width="19.25" customWidth="1"/>
    <col min="5" max="11" width="9.75" customWidth="1"/>
  </cols>
  <sheetData>
    <row r="1" ht="73.35" customHeight="1" spans="1:9">
      <c r="A1" s="107" t="s">
        <v>0</v>
      </c>
      <c r="B1" s="107"/>
      <c r="C1" s="107"/>
      <c r="D1" s="107"/>
      <c r="E1" s="107"/>
      <c r="F1" s="107"/>
      <c r="G1" s="107"/>
      <c r="H1" s="107"/>
      <c r="I1" s="107"/>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08"/>
      <c r="B4" s="109"/>
      <c r="C4" s="3"/>
      <c r="D4" s="108" t="s">
        <v>1</v>
      </c>
      <c r="E4" s="109">
        <v>405022</v>
      </c>
      <c r="F4" s="109"/>
      <c r="G4" s="109"/>
      <c r="H4" s="109"/>
      <c r="I4" s="3"/>
    </row>
    <row r="5" ht="54.4" customHeight="1" spans="1:9">
      <c r="A5" s="108"/>
      <c r="B5" s="109"/>
      <c r="C5" s="3"/>
      <c r="D5" s="108" t="s">
        <v>2</v>
      </c>
      <c r="E5" s="109" t="s">
        <v>3</v>
      </c>
      <c r="F5" s="109"/>
      <c r="G5" s="109"/>
      <c r="H5" s="109"/>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N20" sqref="M20:N20"/>
    </sheetView>
  </sheetViews>
  <sheetFormatPr defaultColWidth="9" defaultRowHeight="13.5" outlineLevelCol="4"/>
  <cols>
    <col min="1" max="1" width="14" style="61" customWidth="1"/>
    <col min="2" max="2" width="29.5" style="61" customWidth="1"/>
    <col min="3" max="3" width="9.63333333333333" style="61" customWidth="1"/>
    <col min="4" max="5" width="15.6333333333333" style="61" customWidth="1"/>
    <col min="6" max="6" width="9" style="61"/>
    <col min="7" max="7" width="9.38333333333333" style="61"/>
    <col min="8" max="16384" width="9" style="61"/>
  </cols>
  <sheetData>
    <row r="1" spans="5:5">
      <c r="E1" s="37" t="s">
        <v>260</v>
      </c>
    </row>
    <row r="2" s="61" customFormat="1" ht="28.7" customHeight="1" spans="1:5">
      <c r="A2" s="76" t="s">
        <v>261</v>
      </c>
      <c r="B2" s="76"/>
      <c r="C2" s="76"/>
      <c r="D2" s="76"/>
      <c r="E2" s="76"/>
    </row>
    <row r="3" s="61" customFormat="1" ht="21.95" customHeight="1" spans="1:5">
      <c r="A3" s="77" t="str">
        <f>"部门"&amp;":"&amp;封面!E4&amp;封面!E5</f>
        <v>部门:405022益阳市赫山区新市渡镇卫生院</v>
      </c>
      <c r="B3" s="77"/>
      <c r="C3" s="77"/>
      <c r="D3" s="64"/>
      <c r="E3" s="78" t="s">
        <v>31</v>
      </c>
    </row>
    <row r="4" s="61" customFormat="1" ht="17.25" customHeight="1" spans="1:5">
      <c r="A4" s="65" t="s">
        <v>158</v>
      </c>
      <c r="B4" s="65" t="s">
        <v>159</v>
      </c>
      <c r="C4" s="65" t="s">
        <v>160</v>
      </c>
      <c r="D4" s="65"/>
      <c r="E4" s="65"/>
    </row>
    <row r="5" s="61" customFormat="1" ht="18.75" customHeight="1" spans="1:5">
      <c r="A5" s="65"/>
      <c r="B5" s="65"/>
      <c r="C5" s="65" t="s">
        <v>136</v>
      </c>
      <c r="D5" s="65" t="s">
        <v>239</v>
      </c>
      <c r="E5" s="65" t="s">
        <v>240</v>
      </c>
    </row>
    <row r="6" s="61" customFormat="1" ht="16.9" customHeight="1" spans="1:5">
      <c r="A6" s="79" t="s">
        <v>262</v>
      </c>
      <c r="B6" s="79" t="s">
        <v>262</v>
      </c>
      <c r="C6" s="79">
        <v>1</v>
      </c>
      <c r="D6" s="79">
        <v>2</v>
      </c>
      <c r="E6" s="79">
        <v>3</v>
      </c>
    </row>
    <row r="7" s="61" customFormat="1" ht="16.9" customHeight="1" spans="1:5">
      <c r="A7" s="67"/>
      <c r="B7" s="67" t="s">
        <v>136</v>
      </c>
      <c r="C7" s="68">
        <f>SUM(C8,C15,C28)</f>
        <v>62.99638</v>
      </c>
      <c r="D7" s="68">
        <f>SUM(D8,D15,D28)</f>
        <v>51.88118</v>
      </c>
      <c r="E7" s="68">
        <f>SUM(E8,E15,E28)</f>
        <v>11.1152</v>
      </c>
    </row>
    <row r="8" s="61" customFormat="1" ht="16.9" customHeight="1" spans="1:5">
      <c r="A8" s="69" t="s">
        <v>263</v>
      </c>
      <c r="B8" s="69" t="s">
        <v>217</v>
      </c>
      <c r="C8" s="68">
        <f>SUM(C9:C14)</f>
        <v>51.88118</v>
      </c>
      <c r="D8" s="68">
        <f>SUM(D9:D14)</f>
        <v>51.88118</v>
      </c>
      <c r="E8" s="68"/>
    </row>
    <row r="9" s="61" customFormat="1" ht="29" customHeight="1" spans="1:5">
      <c r="A9" s="70" t="s">
        <v>264</v>
      </c>
      <c r="B9" s="70" t="s">
        <v>265</v>
      </c>
      <c r="C9" s="73">
        <f t="shared" ref="C9:C14" si="0">D9</f>
        <v>35.011</v>
      </c>
      <c r="D9" s="72">
        <f>VLOOKUP(封面!$E$5,[1]一般预算拨款!$A$7:$AB$32,3,0)</f>
        <v>35.011</v>
      </c>
      <c r="E9" s="73"/>
    </row>
    <row r="10" s="61" customFormat="1" ht="16.9" customHeight="1" spans="1:5">
      <c r="A10" s="70" t="s">
        <v>266</v>
      </c>
      <c r="B10" s="70" t="s">
        <v>267</v>
      </c>
      <c r="C10" s="73">
        <f t="shared" si="0"/>
        <v>0</v>
      </c>
      <c r="D10" s="72">
        <f>VLOOKUP(封面!$E$5,[1]一般预算拨款!$A$7:$AB$32,4,0)</f>
        <v>0</v>
      </c>
      <c r="E10" s="73"/>
    </row>
    <row r="11" s="61" customFormat="1" ht="16.9" customHeight="1" spans="1:5">
      <c r="A11" s="70" t="s">
        <v>268</v>
      </c>
      <c r="B11" s="70" t="s">
        <v>269</v>
      </c>
      <c r="C11" s="73">
        <f t="shared" si="0"/>
        <v>0</v>
      </c>
      <c r="D11" s="72">
        <f>VLOOKUP(封面!$E$5,[1]一般预算拨款!$A$7:$AB$32,5,0)+VLOOKUP(封面!$E$5,[1]一般预算拨款!$A$7:$AB$32,6,0)</f>
        <v>0</v>
      </c>
      <c r="E11" s="73"/>
    </row>
    <row r="12" s="61" customFormat="1" ht="16.9" customHeight="1" spans="1:5">
      <c r="A12" s="70" t="s">
        <v>270</v>
      </c>
      <c r="B12" s="70" t="s">
        <v>271</v>
      </c>
      <c r="C12" s="73">
        <f t="shared" si="0"/>
        <v>7.3364</v>
      </c>
      <c r="D12" s="72">
        <f>VLOOKUP(封面!$E$5,[1]一般预算拨款!$A$7:$AB$32,8,0)</f>
        <v>7.3364</v>
      </c>
      <c r="E12" s="73"/>
    </row>
    <row r="13" s="61" customFormat="1" ht="16.9" customHeight="1" spans="1:5">
      <c r="A13" s="70" t="s">
        <v>272</v>
      </c>
      <c r="B13" s="70" t="s">
        <v>273</v>
      </c>
      <c r="C13" s="73">
        <f t="shared" si="0"/>
        <v>4.01898</v>
      </c>
      <c r="D13" s="72">
        <f>VLOOKUP(封面!$E$5,[1]一般预算拨款!$A$7:$AB$32,7,0)</f>
        <v>4.01898</v>
      </c>
      <c r="E13" s="73"/>
    </row>
    <row r="14" s="61" customFormat="1" ht="16.9" customHeight="1" spans="1:5">
      <c r="A14" s="70" t="s">
        <v>274</v>
      </c>
      <c r="B14" s="70" t="s">
        <v>275</v>
      </c>
      <c r="C14" s="73">
        <f t="shared" si="0"/>
        <v>5.5148</v>
      </c>
      <c r="D14" s="73">
        <f>VLOOKUP(封面!$E$5,[1]一般预算拨款!$A$7:$AB$32,9,0)</f>
        <v>5.5148</v>
      </c>
      <c r="E14" s="73"/>
    </row>
    <row r="15" s="61" customFormat="1" ht="16.9" customHeight="1" spans="1:5">
      <c r="A15" s="69" t="s">
        <v>276</v>
      </c>
      <c r="B15" s="69" t="s">
        <v>241</v>
      </c>
      <c r="C15" s="68">
        <f>SUM(C16:C27)</f>
        <v>11.1152</v>
      </c>
      <c r="D15" s="68"/>
      <c r="E15" s="68">
        <f>SUM(E16:E27)</f>
        <v>11.1152</v>
      </c>
    </row>
    <row r="16" s="61" customFormat="1" ht="16.9" customHeight="1" spans="1:5">
      <c r="A16" s="70" t="s">
        <v>277</v>
      </c>
      <c r="B16" s="70" t="s">
        <v>278</v>
      </c>
      <c r="C16" s="73">
        <f>E16</f>
        <v>1.2</v>
      </c>
      <c r="D16" s="73"/>
      <c r="E16" s="73">
        <f>VLOOKUP(封面!$E$5,[1]一般预算拨款!$A$7:$AB$32,19,0)</f>
        <v>1.2</v>
      </c>
    </row>
    <row r="17" s="61" customFormat="1" ht="16.9" customHeight="1" spans="1:5">
      <c r="A17" s="70" t="s">
        <v>279</v>
      </c>
      <c r="B17" s="70" t="s">
        <v>280</v>
      </c>
      <c r="C17" s="73">
        <f t="shared" ref="C17:C26" si="1">E17</f>
        <v>1.6</v>
      </c>
      <c r="D17" s="73"/>
      <c r="E17" s="73">
        <f>VLOOKUP(封面!$E$5,[1]一般预算拨款!$A$7:$AB$32,20,0)</f>
        <v>1.6</v>
      </c>
    </row>
    <row r="18" s="61" customFormat="1" ht="16.9" customHeight="1" spans="1:5">
      <c r="A18" s="70" t="s">
        <v>281</v>
      </c>
      <c r="B18" s="70" t="s">
        <v>282</v>
      </c>
      <c r="C18" s="73">
        <f t="shared" si="1"/>
        <v>1.6</v>
      </c>
      <c r="D18" s="73"/>
      <c r="E18" s="73">
        <f>VLOOKUP(封面!$E$5,[1]一般预算拨款!$A$7:$AB$32,21,0)</f>
        <v>1.6</v>
      </c>
    </row>
    <row r="19" s="61" customFormat="1" ht="16.9" customHeight="1" spans="1:5">
      <c r="A19" s="70" t="s">
        <v>283</v>
      </c>
      <c r="B19" s="70" t="s">
        <v>284</v>
      </c>
      <c r="C19" s="73">
        <f t="shared" si="1"/>
        <v>1.2</v>
      </c>
      <c r="D19" s="73"/>
      <c r="E19" s="73">
        <f>VLOOKUP(封面!$E$5,[1]一般预算拨款!$A$7:$AB$32,22,0)</f>
        <v>1.2</v>
      </c>
    </row>
    <row r="20" s="61" customFormat="1" ht="16.9" customHeight="1" spans="1:5">
      <c r="A20" s="70">
        <v>30213</v>
      </c>
      <c r="B20" s="80" t="s">
        <v>285</v>
      </c>
      <c r="C20" s="73">
        <f t="shared" si="1"/>
        <v>1</v>
      </c>
      <c r="D20" s="73"/>
      <c r="E20" s="73">
        <f>VLOOKUP(封面!$E$5,[1]一般预算拨款!$A$7:$AB$32,23,0)</f>
        <v>1</v>
      </c>
    </row>
    <row r="21" s="61" customFormat="1" ht="16.9" customHeight="1" spans="1:5">
      <c r="A21" s="70" t="s">
        <v>286</v>
      </c>
      <c r="B21" s="70" t="s">
        <v>287</v>
      </c>
      <c r="C21" s="73">
        <f t="shared" si="1"/>
        <v>1.2</v>
      </c>
      <c r="D21" s="73"/>
      <c r="E21" s="73">
        <f>VLOOKUP(封面!$E$5,[1]一般预算拨款!$A$7:$AB$32,24,0)</f>
        <v>1.2</v>
      </c>
    </row>
    <row r="22" s="61" customFormat="1" ht="16.9" customHeight="1" spans="1:5">
      <c r="A22" s="70" t="s">
        <v>288</v>
      </c>
      <c r="B22" s="70" t="s">
        <v>289</v>
      </c>
      <c r="C22" s="73">
        <f t="shared" si="1"/>
        <v>0</v>
      </c>
      <c r="D22" s="73"/>
      <c r="E22" s="73">
        <f>VLOOKUP(封面!$E$5,[1]一般预算拨款!$A$7:$AB$32,26,0)</f>
        <v>0</v>
      </c>
    </row>
    <row r="23" s="61" customFormat="1" ht="16.9" customHeight="1" spans="1:5">
      <c r="A23" s="70">
        <v>30226</v>
      </c>
      <c r="B23" s="70" t="s">
        <v>290</v>
      </c>
      <c r="C23" s="73">
        <v>1</v>
      </c>
      <c r="D23" s="73"/>
      <c r="E23" s="73">
        <v>1</v>
      </c>
    </row>
    <row r="24" s="61" customFormat="1" ht="16.9" customHeight="1" spans="1:5">
      <c r="A24" s="70" t="s">
        <v>291</v>
      </c>
      <c r="B24" s="70" t="s">
        <v>292</v>
      </c>
      <c r="C24" s="73">
        <f>E24</f>
        <v>0.9157</v>
      </c>
      <c r="D24" s="73"/>
      <c r="E24" s="73">
        <f>VLOOKUP(封面!$E$5,[1]一般预算拨款!$A$7:$AB$32,14,0)</f>
        <v>0.9157</v>
      </c>
    </row>
    <row r="25" s="61" customFormat="1" ht="16.9" customHeight="1" spans="1:5">
      <c r="A25" s="70" t="s">
        <v>293</v>
      </c>
      <c r="B25" s="70" t="s">
        <v>294</v>
      </c>
      <c r="C25" s="73">
        <f>E25</f>
        <v>1.3995</v>
      </c>
      <c r="D25" s="73"/>
      <c r="E25" s="73">
        <f>VLOOKUP(封面!$E$5,[1]一般预算拨款!$A$7:$AB$32,15,0)</f>
        <v>1.3995</v>
      </c>
    </row>
    <row r="26" s="61" customFormat="1" ht="16.9" customHeight="1" spans="1:5">
      <c r="A26" s="70" t="s">
        <v>295</v>
      </c>
      <c r="B26" s="70" t="s">
        <v>296</v>
      </c>
      <c r="C26" s="73">
        <f>E26</f>
        <v>0</v>
      </c>
      <c r="D26" s="73"/>
      <c r="E26" s="73">
        <f>VLOOKUP(封面!$E$5,[1]一般预算拨款!$A$7:$AB$32,18,0)</f>
        <v>0</v>
      </c>
    </row>
    <row r="27" s="61" customFormat="1" ht="16.9" customHeight="1" spans="1:5">
      <c r="A27" s="70" t="s">
        <v>297</v>
      </c>
      <c r="B27" s="70" t="s">
        <v>298</v>
      </c>
      <c r="C27" s="73">
        <f>E27</f>
        <v>0</v>
      </c>
      <c r="D27" s="73"/>
      <c r="E27" s="73">
        <f>VLOOKUP(封面!$E$5,[1]一般预算拨款!$A$7:$AB$32,16,0)</f>
        <v>0</v>
      </c>
    </row>
    <row r="28" s="61" customFormat="1" ht="16.9" customHeight="1" spans="1:5">
      <c r="A28" s="69" t="s">
        <v>299</v>
      </c>
      <c r="B28" s="69" t="s">
        <v>209</v>
      </c>
      <c r="C28" s="68">
        <f>SUM(C29:C30)</f>
        <v>0</v>
      </c>
      <c r="D28" s="68">
        <f>SUM(D29:D30)</f>
        <v>0</v>
      </c>
      <c r="E28" s="68"/>
    </row>
    <row r="29" s="61" customFormat="1" ht="16.9" customHeight="1" spans="1:5">
      <c r="A29" s="70" t="s">
        <v>300</v>
      </c>
      <c r="B29" s="70" t="s">
        <v>301</v>
      </c>
      <c r="C29" s="73"/>
      <c r="D29" s="73"/>
      <c r="E29" s="73"/>
    </row>
    <row r="30" s="61" customFormat="1" ht="16.9" customHeight="1" spans="1:5">
      <c r="A30" s="70" t="s">
        <v>302</v>
      </c>
      <c r="B30" s="70" t="s">
        <v>303</v>
      </c>
      <c r="C30" s="73"/>
      <c r="D30" s="73"/>
      <c r="E30" s="73"/>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7"/>
  <sheetViews>
    <sheetView zoomScale="69" zoomScaleNormal="69" topLeftCell="AK1" workbookViewId="0">
      <selection activeCell="AP10" sqref="AP10"/>
    </sheetView>
  </sheetViews>
  <sheetFormatPr defaultColWidth="9" defaultRowHeight="13.5"/>
  <cols>
    <col min="1" max="1" width="19.5" style="61" customWidth="1"/>
    <col min="2" max="2" width="41.5" style="61" customWidth="1"/>
    <col min="3" max="4" width="9.63333333333333" style="61" customWidth="1"/>
    <col min="5" max="5" width="11.75" style="61" customWidth="1"/>
    <col min="6" max="52" width="9.63333333333333" style="61" customWidth="1"/>
    <col min="53" max="61" width="10.25" style="61" customWidth="1"/>
    <col min="62" max="16384" width="9" style="61"/>
  </cols>
  <sheetData>
    <row r="1" spans="61:61">
      <c r="BI1" s="37" t="s">
        <v>304</v>
      </c>
    </row>
    <row r="2" s="61" customFormat="1" ht="55.9" customHeight="1" spans="1:61">
      <c r="A2" s="62" t="s">
        <v>305</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row>
    <row r="3" s="61" customFormat="1" ht="22.7" customHeight="1" spans="1:61">
      <c r="A3" s="63" t="str">
        <f>"部门"&amp;":"&amp;封面!E4&amp;封面!E5</f>
        <v>部门:405022益阳市赫山区新市渡镇卫生院</v>
      </c>
      <c r="D3" s="64"/>
      <c r="E3" s="64"/>
      <c r="F3" s="64"/>
      <c r="G3" s="64"/>
      <c r="H3" s="64"/>
      <c r="I3" s="64"/>
      <c r="J3" s="64"/>
      <c r="K3" s="64"/>
      <c r="L3" s="64"/>
      <c r="M3" s="64"/>
      <c r="Q3" s="64"/>
      <c r="R3" s="64"/>
      <c r="S3" s="64"/>
      <c r="T3" s="64"/>
      <c r="U3" s="64"/>
      <c r="V3" s="64"/>
      <c r="W3" s="64"/>
      <c r="X3" s="64"/>
      <c r="AG3" s="64"/>
      <c r="AH3" s="64"/>
      <c r="AR3" s="64"/>
      <c r="AS3" s="64"/>
      <c r="AT3" s="64"/>
      <c r="AU3" s="64"/>
      <c r="AW3" s="64"/>
      <c r="AX3" s="64"/>
      <c r="AY3" s="64"/>
      <c r="AZ3" s="64"/>
      <c r="BI3" s="75" t="s">
        <v>31</v>
      </c>
    </row>
    <row r="4" s="61" customFormat="1" ht="24.2" customHeight="1" spans="1:61">
      <c r="A4" s="65" t="s">
        <v>158</v>
      </c>
      <c r="B4" s="65" t="s">
        <v>159</v>
      </c>
      <c r="C4" s="65" t="s">
        <v>306</v>
      </c>
      <c r="D4" s="65" t="s">
        <v>307</v>
      </c>
      <c r="E4" s="65"/>
      <c r="F4" s="65"/>
      <c r="G4" s="65"/>
      <c r="H4" s="65"/>
      <c r="I4" s="65"/>
      <c r="J4" s="65"/>
      <c r="K4" s="65"/>
      <c r="L4" s="65"/>
      <c r="M4" s="65"/>
      <c r="N4" s="65"/>
      <c r="O4" s="65"/>
      <c r="P4" s="65"/>
      <c r="Q4" s="65"/>
      <c r="R4" s="65"/>
      <c r="S4" s="65"/>
      <c r="T4" s="65" t="s">
        <v>218</v>
      </c>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t="s">
        <v>308</v>
      </c>
      <c r="AX4" s="65"/>
      <c r="AY4" s="65"/>
      <c r="AZ4" s="65"/>
      <c r="BA4" s="65"/>
      <c r="BB4" s="65"/>
      <c r="BC4" s="65"/>
      <c r="BD4" s="65"/>
      <c r="BE4" s="65"/>
      <c r="BF4" s="65"/>
      <c r="BG4" s="65"/>
      <c r="BH4" s="65"/>
      <c r="BI4" s="65"/>
    </row>
    <row r="5" s="61" customFormat="1" ht="24.2" customHeight="1" spans="1:61">
      <c r="A5" s="65"/>
      <c r="B5" s="65"/>
      <c r="C5" s="65"/>
      <c r="D5" s="65" t="s">
        <v>309</v>
      </c>
      <c r="E5" s="65" t="s">
        <v>310</v>
      </c>
      <c r="F5" s="65"/>
      <c r="G5" s="65"/>
      <c r="H5" s="65"/>
      <c r="I5" s="65"/>
      <c r="J5" s="65"/>
      <c r="K5" s="65" t="s">
        <v>311</v>
      </c>
      <c r="L5" s="65"/>
      <c r="M5" s="65"/>
      <c r="N5" s="65"/>
      <c r="O5" s="65"/>
      <c r="P5" s="65"/>
      <c r="Q5" s="65"/>
      <c r="R5" s="65" t="s">
        <v>312</v>
      </c>
      <c r="S5" s="65" t="s">
        <v>313</v>
      </c>
      <c r="T5" s="65" t="s">
        <v>314</v>
      </c>
      <c r="U5" s="65" t="s">
        <v>315</v>
      </c>
      <c r="V5" s="65"/>
      <c r="W5" s="65"/>
      <c r="X5" s="65"/>
      <c r="Y5" s="65"/>
      <c r="Z5" s="65"/>
      <c r="AA5" s="65"/>
      <c r="AB5" s="65"/>
      <c r="AC5" s="65"/>
      <c r="AD5" s="65"/>
      <c r="AE5" s="65"/>
      <c r="AF5" s="65"/>
      <c r="AG5" s="65"/>
      <c r="AH5" s="65"/>
      <c r="AI5" s="65"/>
      <c r="AJ5" s="65"/>
      <c r="AK5" s="65"/>
      <c r="AL5" s="65"/>
      <c r="AM5" s="65"/>
      <c r="AN5" s="65"/>
      <c r="AO5" s="65"/>
      <c r="AP5" s="65"/>
      <c r="AQ5" s="65"/>
      <c r="AR5" s="65" t="s">
        <v>316</v>
      </c>
      <c r="AS5" s="65" t="s">
        <v>317</v>
      </c>
      <c r="AT5" s="65" t="s">
        <v>318</v>
      </c>
      <c r="AU5" s="65" t="s">
        <v>319</v>
      </c>
      <c r="AV5" s="65" t="s">
        <v>320</v>
      </c>
      <c r="AW5" s="65" t="s">
        <v>321</v>
      </c>
      <c r="AX5" s="65" t="s">
        <v>322</v>
      </c>
      <c r="AY5" s="65" t="s">
        <v>323</v>
      </c>
      <c r="AZ5" s="65" t="s">
        <v>324</v>
      </c>
      <c r="BA5" s="65" t="s">
        <v>325</v>
      </c>
      <c r="BB5" s="65" t="s">
        <v>326</v>
      </c>
      <c r="BC5" s="65" t="s">
        <v>327</v>
      </c>
      <c r="BD5" s="65" t="s">
        <v>328</v>
      </c>
      <c r="BE5" s="65" t="s">
        <v>329</v>
      </c>
      <c r="BF5" s="65" t="s">
        <v>330</v>
      </c>
      <c r="BG5" s="65" t="s">
        <v>331</v>
      </c>
      <c r="BH5" s="65" t="s">
        <v>332</v>
      </c>
      <c r="BI5" s="65" t="s">
        <v>333</v>
      </c>
    </row>
    <row r="6" s="61" customFormat="1" ht="26.45" customHeight="1" spans="1:61">
      <c r="A6" s="65"/>
      <c r="B6" s="65"/>
      <c r="C6" s="65"/>
      <c r="D6" s="65"/>
      <c r="E6" s="65" t="s">
        <v>334</v>
      </c>
      <c r="F6" s="65" t="s">
        <v>335</v>
      </c>
      <c r="G6" s="65" t="s">
        <v>336</v>
      </c>
      <c r="H6" s="65" t="s">
        <v>337</v>
      </c>
      <c r="I6" s="65" t="s">
        <v>338</v>
      </c>
      <c r="J6" s="65" t="s">
        <v>339</v>
      </c>
      <c r="K6" s="65" t="s">
        <v>138</v>
      </c>
      <c r="L6" s="65" t="s">
        <v>340</v>
      </c>
      <c r="M6" s="65" t="s">
        <v>341</v>
      </c>
      <c r="N6" s="65" t="s">
        <v>342</v>
      </c>
      <c r="O6" s="65" t="s">
        <v>343</v>
      </c>
      <c r="P6" s="65" t="s">
        <v>344</v>
      </c>
      <c r="Q6" s="65" t="s">
        <v>345</v>
      </c>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row>
    <row r="7" s="61" customFormat="1" ht="26.45" customHeight="1" spans="1:61">
      <c r="A7" s="65"/>
      <c r="B7" s="65"/>
      <c r="C7" s="65"/>
      <c r="D7" s="65"/>
      <c r="E7" s="65"/>
      <c r="F7" s="65"/>
      <c r="G7" s="65"/>
      <c r="H7" s="65"/>
      <c r="I7" s="65"/>
      <c r="J7" s="65"/>
      <c r="K7" s="65"/>
      <c r="L7" s="65"/>
      <c r="M7" s="65"/>
      <c r="N7" s="65"/>
      <c r="O7" s="65"/>
      <c r="P7" s="65"/>
      <c r="Q7" s="65"/>
      <c r="R7" s="65"/>
      <c r="S7" s="65"/>
      <c r="T7" s="65"/>
      <c r="U7" s="65" t="s">
        <v>138</v>
      </c>
      <c r="V7" s="65" t="s">
        <v>346</v>
      </c>
      <c r="W7" s="65" t="s">
        <v>347</v>
      </c>
      <c r="X7" s="65" t="s">
        <v>348</v>
      </c>
      <c r="Y7" s="65" t="s">
        <v>349</v>
      </c>
      <c r="Z7" s="65" t="s">
        <v>350</v>
      </c>
      <c r="AA7" s="65" t="s">
        <v>351</v>
      </c>
      <c r="AB7" s="65" t="s">
        <v>352</v>
      </c>
      <c r="AC7" s="65" t="s">
        <v>353</v>
      </c>
      <c r="AD7" s="65" t="s">
        <v>354</v>
      </c>
      <c r="AE7" s="65" t="s">
        <v>355</v>
      </c>
      <c r="AF7" s="65" t="s">
        <v>356</v>
      </c>
      <c r="AG7" s="65" t="s">
        <v>357</v>
      </c>
      <c r="AH7" s="65" t="s">
        <v>358</v>
      </c>
      <c r="AI7" s="65" t="s">
        <v>359</v>
      </c>
      <c r="AJ7" s="65" t="s">
        <v>360</v>
      </c>
      <c r="AK7" s="65" t="s">
        <v>361</v>
      </c>
      <c r="AL7" s="65" t="s">
        <v>362</v>
      </c>
      <c r="AM7" s="65" t="s">
        <v>363</v>
      </c>
      <c r="AN7" s="65" t="s">
        <v>364</v>
      </c>
      <c r="AO7" s="65" t="s">
        <v>290</v>
      </c>
      <c r="AP7" s="65" t="s">
        <v>365</v>
      </c>
      <c r="AQ7" s="65" t="s">
        <v>366</v>
      </c>
      <c r="AR7" s="65"/>
      <c r="AS7" s="65"/>
      <c r="AT7" s="65"/>
      <c r="AU7" s="65"/>
      <c r="AV7" s="65"/>
      <c r="AW7" s="65"/>
      <c r="AX7" s="65"/>
      <c r="AY7" s="65"/>
      <c r="AZ7" s="65"/>
      <c r="BA7" s="65"/>
      <c r="BB7" s="65"/>
      <c r="BC7" s="65"/>
      <c r="BD7" s="65"/>
      <c r="BE7" s="65"/>
      <c r="BF7" s="65"/>
      <c r="BG7" s="65"/>
      <c r="BH7" s="65"/>
      <c r="BI7" s="65"/>
    </row>
    <row r="8" s="61" customFormat="1" ht="16.9" customHeight="1" spans="1:61">
      <c r="A8" s="66" t="s">
        <v>262</v>
      </c>
      <c r="B8" s="66" t="s">
        <v>262</v>
      </c>
      <c r="D8" s="66">
        <v>1</v>
      </c>
      <c r="E8" s="66">
        <v>2</v>
      </c>
      <c r="F8" s="66">
        <v>3</v>
      </c>
      <c r="G8" s="66">
        <v>4</v>
      </c>
      <c r="H8" s="66">
        <v>5</v>
      </c>
      <c r="I8" s="66">
        <v>6</v>
      </c>
      <c r="J8" s="66">
        <v>7</v>
      </c>
      <c r="K8" s="66">
        <v>8</v>
      </c>
      <c r="L8" s="66">
        <v>9</v>
      </c>
      <c r="M8" s="66">
        <v>10</v>
      </c>
      <c r="N8" s="66">
        <v>11</v>
      </c>
      <c r="O8" s="66">
        <v>12</v>
      </c>
      <c r="P8" s="66">
        <v>13</v>
      </c>
      <c r="Q8" s="66">
        <v>14</v>
      </c>
      <c r="R8" s="66">
        <v>15</v>
      </c>
      <c r="S8" s="66">
        <v>16</v>
      </c>
      <c r="T8" s="66">
        <v>17</v>
      </c>
      <c r="U8" s="66">
        <v>18</v>
      </c>
      <c r="V8" s="66">
        <v>19</v>
      </c>
      <c r="W8" s="66">
        <v>20</v>
      </c>
      <c r="X8" s="66">
        <v>21</v>
      </c>
      <c r="Y8" s="66">
        <v>22</v>
      </c>
      <c r="Z8" s="66">
        <v>23</v>
      </c>
      <c r="AA8" s="66">
        <v>24</v>
      </c>
      <c r="AB8" s="66">
        <v>25</v>
      </c>
      <c r="AC8" s="66">
        <v>26</v>
      </c>
      <c r="AD8" s="66">
        <v>27</v>
      </c>
      <c r="AE8" s="66">
        <v>28</v>
      </c>
      <c r="AF8" s="66">
        <v>29</v>
      </c>
      <c r="AG8" s="66">
        <v>30</v>
      </c>
      <c r="AH8" s="66">
        <v>31</v>
      </c>
      <c r="AI8" s="66">
        <v>32</v>
      </c>
      <c r="AJ8" s="66">
        <v>33</v>
      </c>
      <c r="AK8" s="66">
        <v>34</v>
      </c>
      <c r="AL8" s="66">
        <v>35</v>
      </c>
      <c r="AM8" s="66">
        <v>36</v>
      </c>
      <c r="AN8" s="66">
        <v>37</v>
      </c>
      <c r="AO8" s="66">
        <v>38</v>
      </c>
      <c r="AP8" s="66">
        <v>39</v>
      </c>
      <c r="AQ8" s="66">
        <v>40</v>
      </c>
      <c r="AR8" s="66">
        <v>41</v>
      </c>
      <c r="AS8" s="66">
        <v>42</v>
      </c>
      <c r="AT8" s="66">
        <v>43</v>
      </c>
      <c r="AU8" s="66">
        <v>44</v>
      </c>
      <c r="AV8" s="66">
        <v>45</v>
      </c>
      <c r="AW8" s="66">
        <v>46</v>
      </c>
      <c r="AX8" s="66">
        <v>47</v>
      </c>
      <c r="AY8" s="66">
        <v>48</v>
      </c>
      <c r="AZ8" s="66">
        <v>49</v>
      </c>
      <c r="BA8" s="66">
        <v>50</v>
      </c>
      <c r="BB8" s="66">
        <v>51</v>
      </c>
      <c r="BC8" s="66">
        <v>52</v>
      </c>
      <c r="BD8" s="66">
        <v>53</v>
      </c>
      <c r="BE8" s="66">
        <v>54</v>
      </c>
      <c r="BF8" s="66">
        <v>55</v>
      </c>
      <c r="BG8" s="66">
        <v>56</v>
      </c>
      <c r="BH8" s="66">
        <v>57</v>
      </c>
      <c r="BI8" s="66">
        <v>58</v>
      </c>
    </row>
    <row r="9" s="61" customFormat="1" ht="16.9" customHeight="1" spans="1:61">
      <c r="A9" s="65" t="s">
        <v>367</v>
      </c>
      <c r="B9" s="67"/>
      <c r="C9" s="68">
        <f t="shared" ref="C9:G9" si="0">SUM(C10,C15)</f>
        <v>62.99638</v>
      </c>
      <c r="D9" s="68">
        <f t="shared" si="0"/>
        <v>51.88118</v>
      </c>
      <c r="E9" s="68">
        <f t="shared" si="0"/>
        <v>35.011</v>
      </c>
      <c r="F9" s="68">
        <f t="shared" si="0"/>
        <v>35.011</v>
      </c>
      <c r="G9" s="68">
        <f t="shared" si="0"/>
        <v>0</v>
      </c>
      <c r="H9" s="68"/>
      <c r="I9" s="68">
        <f t="shared" ref="I9:L9" si="1">SUM(I10,I15)</f>
        <v>0</v>
      </c>
      <c r="J9" s="68"/>
      <c r="K9" s="68">
        <f t="shared" si="1"/>
        <v>11.35538</v>
      </c>
      <c r="L9" s="68">
        <f t="shared" si="1"/>
        <v>7.3364</v>
      </c>
      <c r="M9" s="68"/>
      <c r="N9" s="68">
        <f>SUM(N10,N15)</f>
        <v>4.01898</v>
      </c>
      <c r="O9" s="68"/>
      <c r="P9" s="68"/>
      <c r="Q9" s="68"/>
      <c r="R9" s="68">
        <f t="shared" ref="R9:W9" si="2">SUM(R10,R15)</f>
        <v>5.5148</v>
      </c>
      <c r="S9" s="68"/>
      <c r="T9" s="68">
        <f t="shared" si="2"/>
        <v>11.1152</v>
      </c>
      <c r="U9" s="68">
        <f t="shared" si="2"/>
        <v>8.8</v>
      </c>
      <c r="V9" s="68">
        <f t="shared" si="2"/>
        <v>1.2</v>
      </c>
      <c r="W9" s="68">
        <f t="shared" si="2"/>
        <v>1.6</v>
      </c>
      <c r="X9" s="68"/>
      <c r="Y9" s="68"/>
      <c r="Z9" s="68">
        <f>SUM(Z10,Z15)</f>
        <v>1.6</v>
      </c>
      <c r="AA9" s="68">
        <f>SUM(AA10,AA15)</f>
        <v>1.2</v>
      </c>
      <c r="AB9" s="68"/>
      <c r="AC9" s="68"/>
      <c r="AD9" s="68"/>
      <c r="AE9" s="68"/>
      <c r="AF9" s="68"/>
      <c r="AG9" s="68">
        <f>SUM(AG10,AG15)</f>
        <v>1</v>
      </c>
      <c r="AH9" s="68"/>
      <c r="AI9" s="68">
        <f>SUM(AI10,AI15)</f>
        <v>1.2</v>
      </c>
      <c r="AJ9" s="68"/>
      <c r="AK9" s="68">
        <f>SUM(AK10,AK15)</f>
        <v>0</v>
      </c>
      <c r="AL9" s="68"/>
      <c r="AM9" s="68"/>
      <c r="AN9" s="68"/>
      <c r="AO9" s="68">
        <v>1</v>
      </c>
      <c r="AP9" s="68"/>
      <c r="AQ9" s="68"/>
      <c r="AR9" s="68">
        <f t="shared" ref="AR9:AU9" si="3">SUM(AR10,AR15)</f>
        <v>0.9157</v>
      </c>
      <c r="AS9" s="68">
        <f t="shared" si="3"/>
        <v>1.3995</v>
      </c>
      <c r="AT9" s="68">
        <f t="shared" si="3"/>
        <v>0</v>
      </c>
      <c r="AU9" s="68">
        <f t="shared" si="3"/>
        <v>0</v>
      </c>
      <c r="AV9" s="68"/>
      <c r="AW9" s="68">
        <f t="shared" ref="AW9:BA9" si="4">SUM(AW10,AW15)</f>
        <v>0</v>
      </c>
      <c r="AX9" s="68">
        <f t="shared" si="4"/>
        <v>0</v>
      </c>
      <c r="AY9" s="68"/>
      <c r="AZ9" s="68"/>
      <c r="BA9" s="68">
        <f t="shared" si="4"/>
        <v>0</v>
      </c>
      <c r="BB9" s="68"/>
      <c r="BC9" s="68"/>
      <c r="BD9" s="68"/>
      <c r="BE9" s="68"/>
      <c r="BF9" s="68"/>
      <c r="BG9" s="68"/>
      <c r="BH9" s="68"/>
      <c r="BI9" s="68"/>
    </row>
    <row r="10" s="61" customFormat="1" ht="16.9" customHeight="1" spans="1:61">
      <c r="A10" s="69" t="s">
        <v>172</v>
      </c>
      <c r="B10" s="69" t="s">
        <v>245</v>
      </c>
      <c r="C10" s="68">
        <f t="shared" ref="C10:G10" si="5">SUM(C11,C13)</f>
        <v>55.65998</v>
      </c>
      <c r="D10" s="68">
        <f t="shared" si="5"/>
        <v>44.54478</v>
      </c>
      <c r="E10" s="68">
        <f t="shared" si="5"/>
        <v>35.011</v>
      </c>
      <c r="F10" s="68">
        <f t="shared" si="5"/>
        <v>35.011</v>
      </c>
      <c r="G10" s="68">
        <f t="shared" si="5"/>
        <v>0</v>
      </c>
      <c r="H10" s="68"/>
      <c r="I10" s="68">
        <f t="shared" ref="I10:N10" si="6">SUM(I11,I13)</f>
        <v>0</v>
      </c>
      <c r="J10" s="68"/>
      <c r="K10" s="68">
        <f t="shared" si="6"/>
        <v>4.01898</v>
      </c>
      <c r="L10" s="68"/>
      <c r="M10" s="68"/>
      <c r="N10" s="68">
        <f t="shared" si="6"/>
        <v>4.01898</v>
      </c>
      <c r="O10" s="68"/>
      <c r="P10" s="68"/>
      <c r="Q10" s="68"/>
      <c r="R10" s="68">
        <f t="shared" ref="R10:W10" si="7">SUM(R11,R13)</f>
        <v>5.5148</v>
      </c>
      <c r="S10" s="68"/>
      <c r="T10" s="68">
        <f t="shared" si="7"/>
        <v>11.1152</v>
      </c>
      <c r="U10" s="68">
        <f t="shared" si="7"/>
        <v>8.8</v>
      </c>
      <c r="V10" s="68">
        <f t="shared" si="7"/>
        <v>1.2</v>
      </c>
      <c r="W10" s="68">
        <f t="shared" si="7"/>
        <v>1.6</v>
      </c>
      <c r="X10" s="68"/>
      <c r="Y10" s="68"/>
      <c r="Z10" s="68">
        <f>SUM(Z11,Z13)</f>
        <v>1.6</v>
      </c>
      <c r="AA10" s="68">
        <f>SUM(AA11,AA13)</f>
        <v>1.2</v>
      </c>
      <c r="AB10" s="68"/>
      <c r="AC10" s="68"/>
      <c r="AD10" s="68"/>
      <c r="AE10" s="68"/>
      <c r="AF10" s="68"/>
      <c r="AG10" s="68">
        <f>AG11</f>
        <v>1</v>
      </c>
      <c r="AH10" s="68"/>
      <c r="AI10" s="68">
        <f>SUM(AI11,AI13)</f>
        <v>1.2</v>
      </c>
      <c r="AJ10" s="68"/>
      <c r="AK10" s="68">
        <f>SUM(AK11,AK13)</f>
        <v>0</v>
      </c>
      <c r="AL10" s="68"/>
      <c r="AM10" s="68"/>
      <c r="AN10" s="68"/>
      <c r="AO10" s="68">
        <v>1</v>
      </c>
      <c r="AP10" s="68"/>
      <c r="AQ10" s="68"/>
      <c r="AR10" s="68">
        <f t="shared" ref="AR10:AU10" si="8">SUM(AR11,AR13)</f>
        <v>0.9157</v>
      </c>
      <c r="AS10" s="68">
        <f t="shared" si="8"/>
        <v>1.3995</v>
      </c>
      <c r="AT10" s="68">
        <f t="shared" si="8"/>
        <v>0</v>
      </c>
      <c r="AU10" s="68">
        <f t="shared" si="8"/>
        <v>0</v>
      </c>
      <c r="AV10" s="68"/>
      <c r="AW10" s="68">
        <f t="shared" ref="AW10:BA10" si="9">SUM(AW11,AW13)</f>
        <v>0</v>
      </c>
      <c r="AX10" s="68">
        <f t="shared" si="9"/>
        <v>0</v>
      </c>
      <c r="AY10" s="68"/>
      <c r="AZ10" s="68"/>
      <c r="BA10" s="68">
        <f t="shared" si="9"/>
        <v>0</v>
      </c>
      <c r="BB10" s="68"/>
      <c r="BC10" s="68"/>
      <c r="BD10" s="68"/>
      <c r="BE10" s="68"/>
      <c r="BF10" s="68"/>
      <c r="BG10" s="68"/>
      <c r="BH10" s="68"/>
      <c r="BI10" s="68"/>
    </row>
    <row r="11" s="61" customFormat="1" ht="16.9" customHeight="1" spans="1:61">
      <c r="A11" s="70" t="s">
        <v>368</v>
      </c>
      <c r="B11" s="70" t="s">
        <v>369</v>
      </c>
      <c r="C11" s="68">
        <f t="shared" ref="C11:G11" si="10">C12</f>
        <v>51.641</v>
      </c>
      <c r="D11" s="68">
        <f t="shared" si="10"/>
        <v>40.5258</v>
      </c>
      <c r="E11" s="68">
        <f t="shared" si="10"/>
        <v>35.011</v>
      </c>
      <c r="F11" s="68">
        <f t="shared" si="10"/>
        <v>35.011</v>
      </c>
      <c r="G11" s="68">
        <f t="shared" si="10"/>
        <v>0</v>
      </c>
      <c r="H11" s="68"/>
      <c r="I11" s="68">
        <f t="shared" ref="I11:N11" si="11">I12</f>
        <v>0</v>
      </c>
      <c r="J11" s="68"/>
      <c r="K11" s="68">
        <f t="shared" si="11"/>
        <v>0</v>
      </c>
      <c r="L11" s="68"/>
      <c r="M11" s="68"/>
      <c r="N11" s="68">
        <f t="shared" si="11"/>
        <v>0</v>
      </c>
      <c r="O11" s="68"/>
      <c r="P11" s="68"/>
      <c r="Q11" s="68"/>
      <c r="R11" s="68">
        <f t="shared" ref="R11:W11" si="12">R12</f>
        <v>5.5148</v>
      </c>
      <c r="S11" s="68"/>
      <c r="T11" s="68">
        <f t="shared" si="12"/>
        <v>11.1152</v>
      </c>
      <c r="U11" s="68">
        <f t="shared" si="12"/>
        <v>8.8</v>
      </c>
      <c r="V11" s="68">
        <f t="shared" si="12"/>
        <v>1.2</v>
      </c>
      <c r="W11" s="68">
        <f t="shared" si="12"/>
        <v>1.6</v>
      </c>
      <c r="X11" s="68"/>
      <c r="Y11" s="68"/>
      <c r="Z11" s="68">
        <f>Z12</f>
        <v>1.6</v>
      </c>
      <c r="AA11" s="68">
        <f>AA12</f>
        <v>1.2</v>
      </c>
      <c r="AB11" s="68"/>
      <c r="AC11" s="68"/>
      <c r="AD11" s="68"/>
      <c r="AE11" s="68"/>
      <c r="AF11" s="68"/>
      <c r="AG11" s="68">
        <f>AG12</f>
        <v>1</v>
      </c>
      <c r="AH11" s="68"/>
      <c r="AI11" s="68">
        <f>AI12</f>
        <v>1.2</v>
      </c>
      <c r="AJ11" s="68"/>
      <c r="AK11" s="68">
        <f>AK12</f>
        <v>0</v>
      </c>
      <c r="AL11" s="68"/>
      <c r="AM11" s="68"/>
      <c r="AN11" s="68"/>
      <c r="AO11" s="68">
        <v>1</v>
      </c>
      <c r="AP11" s="68"/>
      <c r="AQ11" s="68"/>
      <c r="AR11" s="68">
        <f t="shared" ref="AR11:AU11" si="13">AR12</f>
        <v>0.9157</v>
      </c>
      <c r="AS11" s="68">
        <f t="shared" si="13"/>
        <v>1.3995</v>
      </c>
      <c r="AT11" s="68">
        <f t="shared" si="13"/>
        <v>0</v>
      </c>
      <c r="AU11" s="68">
        <f t="shared" si="13"/>
        <v>0</v>
      </c>
      <c r="AV11" s="68"/>
      <c r="AW11" s="68">
        <f t="shared" ref="AW11:BA11" si="14">AW12</f>
        <v>0</v>
      </c>
      <c r="AX11" s="68">
        <f t="shared" si="14"/>
        <v>0</v>
      </c>
      <c r="AY11" s="68"/>
      <c r="AZ11" s="68"/>
      <c r="BA11" s="68">
        <f t="shared" si="14"/>
        <v>0</v>
      </c>
      <c r="BB11" s="68"/>
      <c r="BC11" s="68"/>
      <c r="BD11" s="68"/>
      <c r="BE11" s="68"/>
      <c r="BF11" s="68"/>
      <c r="BG11" s="68"/>
      <c r="BH11" s="68"/>
      <c r="BI11" s="68"/>
    </row>
    <row r="12" s="61" customFormat="1" ht="16.9" customHeight="1" spans="1:61">
      <c r="A12" s="70" t="s">
        <v>174</v>
      </c>
      <c r="B12" s="70" t="s">
        <v>175</v>
      </c>
      <c r="C12" s="71">
        <f t="shared" ref="C12:C17" si="15">SUM(D12,T12,AW12)</f>
        <v>51.641</v>
      </c>
      <c r="D12" s="71">
        <f t="shared" ref="D12:D17" si="16">SUM(E12,K12,R12,S12)</f>
        <v>40.5258</v>
      </c>
      <c r="E12" s="71">
        <f t="shared" ref="E12:E17" si="17">SUM(F12:J12)</f>
        <v>35.011</v>
      </c>
      <c r="F12" s="72">
        <f>'8一般公共预算基本支出表（纵向）'!D9</f>
        <v>35.011</v>
      </c>
      <c r="G12" s="71">
        <f>'8一般公共预算基本支出表（纵向）'!D10</f>
        <v>0</v>
      </c>
      <c r="H12" s="71"/>
      <c r="I12" s="71">
        <f>'8一般公共预算基本支出表（纵向）'!D11</f>
        <v>0</v>
      </c>
      <c r="J12" s="71"/>
      <c r="K12" s="71">
        <f t="shared" ref="K12:K17" si="18">SUM(L12:Q12)</f>
        <v>0</v>
      </c>
      <c r="L12" s="71"/>
      <c r="M12" s="71"/>
      <c r="N12" s="71"/>
      <c r="O12" s="71"/>
      <c r="P12" s="71"/>
      <c r="Q12" s="71"/>
      <c r="R12" s="71">
        <f>'8一般公共预算基本支出表（纵向）'!D14</f>
        <v>5.5148</v>
      </c>
      <c r="S12" s="71"/>
      <c r="T12" s="71">
        <f t="shared" ref="T12:T17" si="19">SUM(U12,AR12:AV12)</f>
        <v>11.1152</v>
      </c>
      <c r="U12" s="71">
        <f t="shared" ref="U12:U17" si="20">SUM(V12:AQ12)</f>
        <v>8.8</v>
      </c>
      <c r="V12" s="73">
        <f>'8一般公共预算基本支出表（纵向）'!E16</f>
        <v>1.2</v>
      </c>
      <c r="W12" s="71">
        <f>'8一般公共预算基本支出表（纵向）'!C17</f>
        <v>1.6</v>
      </c>
      <c r="X12" s="71"/>
      <c r="Y12" s="71"/>
      <c r="Z12" s="71">
        <f>'8一般公共预算基本支出表（纵向）'!C18</f>
        <v>1.6</v>
      </c>
      <c r="AA12" s="71">
        <f>'8一般公共预算基本支出表（纵向）'!C19</f>
        <v>1.2</v>
      </c>
      <c r="AB12" s="71"/>
      <c r="AC12" s="71"/>
      <c r="AD12" s="71"/>
      <c r="AE12" s="71"/>
      <c r="AF12" s="71"/>
      <c r="AG12" s="71">
        <f>'8一般公共预算基本支出表（纵向）'!C20</f>
        <v>1</v>
      </c>
      <c r="AH12" s="71"/>
      <c r="AI12" s="73">
        <f>'8一般公共预算基本支出表（纵向）'!C21</f>
        <v>1.2</v>
      </c>
      <c r="AJ12" s="71"/>
      <c r="AK12" s="73">
        <f>'8一般公共预算基本支出表（纵向）'!C22</f>
        <v>0</v>
      </c>
      <c r="AL12" s="71"/>
      <c r="AM12" s="71"/>
      <c r="AN12" s="71"/>
      <c r="AO12" s="71">
        <v>1</v>
      </c>
      <c r="AP12" s="71"/>
      <c r="AQ12" s="71"/>
      <c r="AR12" s="71">
        <f>'8一般公共预算基本支出表（纵向）'!C24</f>
        <v>0.9157</v>
      </c>
      <c r="AS12" s="71">
        <f>'8一般公共预算基本支出表（纵向）'!C25</f>
        <v>1.3995</v>
      </c>
      <c r="AT12" s="71">
        <f>'8一般公共预算基本支出表（纵向）'!C26</f>
        <v>0</v>
      </c>
      <c r="AU12" s="71">
        <f>'8一般公共预算基本支出表（纵向）'!C27</f>
        <v>0</v>
      </c>
      <c r="AV12" s="71"/>
      <c r="AW12" s="71">
        <f t="shared" ref="AW12:AW17" si="21">SUM(AX12:BI12)</f>
        <v>0</v>
      </c>
      <c r="AX12" s="73"/>
      <c r="AY12" s="71"/>
      <c r="AZ12" s="71"/>
      <c r="BA12" s="73"/>
      <c r="BB12" s="71"/>
      <c r="BC12" s="71"/>
      <c r="BD12" s="71"/>
      <c r="BE12" s="71"/>
      <c r="BF12" s="71"/>
      <c r="BG12" s="71"/>
      <c r="BH12" s="71"/>
      <c r="BI12" s="71"/>
    </row>
    <row r="13" s="61" customFormat="1" ht="16.9" customHeight="1" spans="1:61">
      <c r="A13" s="70" t="s">
        <v>370</v>
      </c>
      <c r="B13" s="70" t="s">
        <v>257</v>
      </c>
      <c r="C13" s="73">
        <f t="shared" ref="C13:BI13" si="22">C14</f>
        <v>4.01898</v>
      </c>
      <c r="D13" s="73">
        <f t="shared" si="22"/>
        <v>4.01898</v>
      </c>
      <c r="E13" s="73">
        <f t="shared" si="22"/>
        <v>0</v>
      </c>
      <c r="F13" s="73">
        <f t="shared" si="22"/>
        <v>0</v>
      </c>
      <c r="G13" s="73">
        <f t="shared" si="22"/>
        <v>0</v>
      </c>
      <c r="H13" s="73">
        <f t="shared" si="22"/>
        <v>0</v>
      </c>
      <c r="I13" s="73">
        <f t="shared" si="22"/>
        <v>0</v>
      </c>
      <c r="J13" s="73">
        <f t="shared" si="22"/>
        <v>0</v>
      </c>
      <c r="K13" s="73">
        <f t="shared" si="22"/>
        <v>4.01898</v>
      </c>
      <c r="L13" s="73">
        <f t="shared" si="22"/>
        <v>0</v>
      </c>
      <c r="M13" s="73">
        <f t="shared" si="22"/>
        <v>0</v>
      </c>
      <c r="N13" s="73">
        <f t="shared" si="22"/>
        <v>4.01898</v>
      </c>
      <c r="O13" s="73">
        <f t="shared" si="22"/>
        <v>0</v>
      </c>
      <c r="P13" s="73">
        <f t="shared" si="22"/>
        <v>0</v>
      </c>
      <c r="Q13" s="73">
        <f t="shared" si="22"/>
        <v>0</v>
      </c>
      <c r="R13" s="73">
        <f t="shared" si="22"/>
        <v>0</v>
      </c>
      <c r="S13" s="73">
        <f t="shared" si="22"/>
        <v>0</v>
      </c>
      <c r="T13" s="73">
        <f t="shared" si="22"/>
        <v>0</v>
      </c>
      <c r="U13" s="73">
        <f t="shared" si="22"/>
        <v>0</v>
      </c>
      <c r="V13" s="73">
        <f t="shared" si="22"/>
        <v>0</v>
      </c>
      <c r="W13" s="73">
        <f t="shared" si="22"/>
        <v>0</v>
      </c>
      <c r="X13" s="73">
        <f t="shared" si="22"/>
        <v>0</v>
      </c>
      <c r="Y13" s="73">
        <f t="shared" si="22"/>
        <v>0</v>
      </c>
      <c r="Z13" s="73">
        <f t="shared" si="22"/>
        <v>0</v>
      </c>
      <c r="AA13" s="73">
        <f t="shared" si="22"/>
        <v>0</v>
      </c>
      <c r="AB13" s="73">
        <f t="shared" si="22"/>
        <v>0</v>
      </c>
      <c r="AC13" s="73">
        <f t="shared" si="22"/>
        <v>0</v>
      </c>
      <c r="AD13" s="73">
        <f t="shared" si="22"/>
        <v>0</v>
      </c>
      <c r="AE13" s="73">
        <f t="shared" si="22"/>
        <v>0</v>
      </c>
      <c r="AF13" s="73">
        <f t="shared" si="22"/>
        <v>0</v>
      </c>
      <c r="AG13" s="73">
        <f t="shared" si="22"/>
        <v>0</v>
      </c>
      <c r="AH13" s="73">
        <f t="shared" si="22"/>
        <v>0</v>
      </c>
      <c r="AI13" s="73">
        <f t="shared" si="22"/>
        <v>0</v>
      </c>
      <c r="AJ13" s="73">
        <f t="shared" si="22"/>
        <v>0</v>
      </c>
      <c r="AK13" s="73">
        <f t="shared" si="22"/>
        <v>0</v>
      </c>
      <c r="AL13" s="73">
        <f t="shared" si="22"/>
        <v>0</v>
      </c>
      <c r="AM13" s="73">
        <f t="shared" si="22"/>
        <v>0</v>
      </c>
      <c r="AN13" s="73">
        <f t="shared" si="22"/>
        <v>0</v>
      </c>
      <c r="AO13" s="73">
        <f t="shared" si="22"/>
        <v>0</v>
      </c>
      <c r="AP13" s="73">
        <f t="shared" si="22"/>
        <v>0</v>
      </c>
      <c r="AQ13" s="73">
        <f t="shared" si="22"/>
        <v>0</v>
      </c>
      <c r="AR13" s="73">
        <f t="shared" si="22"/>
        <v>0</v>
      </c>
      <c r="AS13" s="73">
        <f t="shared" si="22"/>
        <v>0</v>
      </c>
      <c r="AT13" s="73">
        <f t="shared" si="22"/>
        <v>0</v>
      </c>
      <c r="AU13" s="73">
        <f t="shared" si="22"/>
        <v>0</v>
      </c>
      <c r="AV13" s="73">
        <f t="shared" si="22"/>
        <v>0</v>
      </c>
      <c r="AW13" s="73">
        <f t="shared" si="22"/>
        <v>0</v>
      </c>
      <c r="AX13" s="73">
        <f t="shared" si="22"/>
        <v>0</v>
      </c>
      <c r="AY13" s="73">
        <f t="shared" si="22"/>
        <v>0</v>
      </c>
      <c r="AZ13" s="73">
        <f t="shared" si="22"/>
        <v>0</v>
      </c>
      <c r="BA13" s="73">
        <f t="shared" si="22"/>
        <v>0</v>
      </c>
      <c r="BB13" s="73">
        <f t="shared" si="22"/>
        <v>0</v>
      </c>
      <c r="BC13" s="73">
        <f t="shared" si="22"/>
        <v>0</v>
      </c>
      <c r="BD13" s="73">
        <f t="shared" si="22"/>
        <v>0</v>
      </c>
      <c r="BE13" s="73">
        <f t="shared" si="22"/>
        <v>0</v>
      </c>
      <c r="BF13" s="73">
        <f t="shared" si="22"/>
        <v>0</v>
      </c>
      <c r="BG13" s="73">
        <f t="shared" si="22"/>
        <v>0</v>
      </c>
      <c r="BH13" s="73">
        <f t="shared" si="22"/>
        <v>0</v>
      </c>
      <c r="BI13" s="73">
        <f t="shared" si="22"/>
        <v>0</v>
      </c>
    </row>
    <row r="14" s="61" customFormat="1" ht="16.9" customHeight="1" spans="1:61">
      <c r="A14" s="70" t="s">
        <v>195</v>
      </c>
      <c r="B14" s="70" t="s">
        <v>196</v>
      </c>
      <c r="C14" s="71">
        <f t="shared" si="15"/>
        <v>4.01898</v>
      </c>
      <c r="D14" s="71">
        <f t="shared" si="16"/>
        <v>4.01898</v>
      </c>
      <c r="E14" s="71">
        <f t="shared" si="17"/>
        <v>0</v>
      </c>
      <c r="F14" s="71"/>
      <c r="G14" s="71"/>
      <c r="H14" s="71"/>
      <c r="I14" s="71"/>
      <c r="J14" s="71"/>
      <c r="K14" s="71">
        <f t="shared" si="18"/>
        <v>4.01898</v>
      </c>
      <c r="L14" s="71"/>
      <c r="M14" s="71"/>
      <c r="N14" s="72">
        <f>'8一般公共预算基本支出表（纵向）'!D13</f>
        <v>4.01898</v>
      </c>
      <c r="O14" s="71"/>
      <c r="P14" s="71"/>
      <c r="Q14" s="71"/>
      <c r="R14" s="71"/>
      <c r="S14" s="71"/>
      <c r="T14" s="71">
        <f t="shared" si="19"/>
        <v>0</v>
      </c>
      <c r="U14" s="71">
        <f t="shared" si="20"/>
        <v>0</v>
      </c>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f t="shared" si="21"/>
        <v>0</v>
      </c>
      <c r="AX14" s="71"/>
      <c r="AY14" s="71"/>
      <c r="AZ14" s="71"/>
      <c r="BA14" s="71"/>
      <c r="BB14" s="71"/>
      <c r="BC14" s="71"/>
      <c r="BD14" s="71"/>
      <c r="BE14" s="71"/>
      <c r="BF14" s="71"/>
      <c r="BG14" s="71"/>
      <c r="BH14" s="71"/>
      <c r="BI14" s="71"/>
    </row>
    <row r="15" s="61" customFormat="1" ht="16.9" customHeight="1" spans="1:61">
      <c r="A15" s="69" t="s">
        <v>168</v>
      </c>
      <c r="B15" s="69" t="s">
        <v>242</v>
      </c>
      <c r="C15" s="68">
        <f>C16</f>
        <v>7.3364</v>
      </c>
      <c r="D15" s="68">
        <f>D16</f>
        <v>7.3364</v>
      </c>
      <c r="E15" s="68"/>
      <c r="F15" s="68"/>
      <c r="G15" s="68"/>
      <c r="H15" s="68"/>
      <c r="I15" s="68"/>
      <c r="J15" s="68"/>
      <c r="K15" s="68">
        <f>K16</f>
        <v>7.3364</v>
      </c>
      <c r="L15" s="68">
        <f>L16</f>
        <v>7.3364</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row>
    <row r="16" s="61" customFormat="1" ht="16.9" customHeight="1" spans="1:61">
      <c r="A16" s="70" t="s">
        <v>371</v>
      </c>
      <c r="B16" s="70" t="s">
        <v>372</v>
      </c>
      <c r="C16" s="73">
        <f t="shared" ref="C16:BI16" si="23">C17</f>
        <v>7.3364</v>
      </c>
      <c r="D16" s="73">
        <f t="shared" si="23"/>
        <v>7.3364</v>
      </c>
      <c r="E16" s="73">
        <f t="shared" si="23"/>
        <v>0</v>
      </c>
      <c r="F16" s="73">
        <f t="shared" si="23"/>
        <v>0</v>
      </c>
      <c r="G16" s="73">
        <f t="shared" si="23"/>
        <v>0</v>
      </c>
      <c r="H16" s="73">
        <f t="shared" si="23"/>
        <v>0</v>
      </c>
      <c r="I16" s="73">
        <f t="shared" si="23"/>
        <v>0</v>
      </c>
      <c r="J16" s="73">
        <f t="shared" si="23"/>
        <v>0</v>
      </c>
      <c r="K16" s="73">
        <f t="shared" si="23"/>
        <v>7.3364</v>
      </c>
      <c r="L16" s="73">
        <f t="shared" si="23"/>
        <v>7.3364</v>
      </c>
      <c r="M16" s="73">
        <f t="shared" si="23"/>
        <v>0</v>
      </c>
      <c r="N16" s="73">
        <f t="shared" si="23"/>
        <v>0</v>
      </c>
      <c r="O16" s="73">
        <f t="shared" si="23"/>
        <v>0</v>
      </c>
      <c r="P16" s="73">
        <f t="shared" si="23"/>
        <v>0</v>
      </c>
      <c r="Q16" s="73">
        <f t="shared" si="23"/>
        <v>0</v>
      </c>
      <c r="R16" s="73">
        <f t="shared" si="23"/>
        <v>0</v>
      </c>
      <c r="S16" s="73">
        <f t="shared" si="23"/>
        <v>0</v>
      </c>
      <c r="T16" s="73">
        <f t="shared" si="23"/>
        <v>0</v>
      </c>
      <c r="U16" s="73">
        <f t="shared" si="23"/>
        <v>0</v>
      </c>
      <c r="V16" s="73">
        <f t="shared" si="23"/>
        <v>0</v>
      </c>
      <c r="W16" s="73">
        <f t="shared" si="23"/>
        <v>0</v>
      </c>
      <c r="X16" s="73">
        <f t="shared" si="23"/>
        <v>0</v>
      </c>
      <c r="Y16" s="73">
        <f t="shared" si="23"/>
        <v>0</v>
      </c>
      <c r="Z16" s="73">
        <f t="shared" si="23"/>
        <v>0</v>
      </c>
      <c r="AA16" s="73">
        <f t="shared" si="23"/>
        <v>0</v>
      </c>
      <c r="AB16" s="73">
        <f t="shared" si="23"/>
        <v>0</v>
      </c>
      <c r="AC16" s="73">
        <f t="shared" si="23"/>
        <v>0</v>
      </c>
      <c r="AD16" s="73">
        <f t="shared" si="23"/>
        <v>0</v>
      </c>
      <c r="AE16" s="73">
        <f t="shared" si="23"/>
        <v>0</v>
      </c>
      <c r="AF16" s="73">
        <f t="shared" si="23"/>
        <v>0</v>
      </c>
      <c r="AG16" s="73">
        <f t="shared" si="23"/>
        <v>0</v>
      </c>
      <c r="AH16" s="73">
        <f t="shared" si="23"/>
        <v>0</v>
      </c>
      <c r="AI16" s="73">
        <f t="shared" si="23"/>
        <v>0</v>
      </c>
      <c r="AJ16" s="73">
        <f t="shared" si="23"/>
        <v>0</v>
      </c>
      <c r="AK16" s="73">
        <f t="shared" si="23"/>
        <v>0</v>
      </c>
      <c r="AL16" s="73">
        <f t="shared" si="23"/>
        <v>0</v>
      </c>
      <c r="AM16" s="73">
        <f t="shared" si="23"/>
        <v>0</v>
      </c>
      <c r="AN16" s="73">
        <f t="shared" si="23"/>
        <v>0</v>
      </c>
      <c r="AO16" s="73">
        <f t="shared" si="23"/>
        <v>0</v>
      </c>
      <c r="AP16" s="73">
        <f t="shared" si="23"/>
        <v>0</v>
      </c>
      <c r="AQ16" s="73">
        <f t="shared" si="23"/>
        <v>0</v>
      </c>
      <c r="AR16" s="73">
        <f t="shared" si="23"/>
        <v>0</v>
      </c>
      <c r="AS16" s="73">
        <f t="shared" si="23"/>
        <v>0</v>
      </c>
      <c r="AT16" s="73">
        <f t="shared" si="23"/>
        <v>0</v>
      </c>
      <c r="AU16" s="73">
        <f t="shared" si="23"/>
        <v>0</v>
      </c>
      <c r="AV16" s="73">
        <f t="shared" si="23"/>
        <v>0</v>
      </c>
      <c r="AW16" s="73">
        <f t="shared" si="23"/>
        <v>0</v>
      </c>
      <c r="AX16" s="73">
        <f t="shared" si="23"/>
        <v>0</v>
      </c>
      <c r="AY16" s="73">
        <f t="shared" si="23"/>
        <v>0</v>
      </c>
      <c r="AZ16" s="73">
        <f t="shared" si="23"/>
        <v>0</v>
      </c>
      <c r="BA16" s="73">
        <f t="shared" si="23"/>
        <v>0</v>
      </c>
      <c r="BB16" s="73">
        <f t="shared" si="23"/>
        <v>0</v>
      </c>
      <c r="BC16" s="73">
        <f t="shared" si="23"/>
        <v>0</v>
      </c>
      <c r="BD16" s="73">
        <f t="shared" si="23"/>
        <v>0</v>
      </c>
      <c r="BE16" s="73">
        <f t="shared" si="23"/>
        <v>0</v>
      </c>
      <c r="BF16" s="73">
        <f t="shared" si="23"/>
        <v>0</v>
      </c>
      <c r="BG16" s="73">
        <f t="shared" si="23"/>
        <v>0</v>
      </c>
      <c r="BH16" s="73">
        <f t="shared" si="23"/>
        <v>0</v>
      </c>
      <c r="BI16" s="73">
        <f t="shared" si="23"/>
        <v>0</v>
      </c>
    </row>
    <row r="17" s="61" customFormat="1" ht="16.9" customHeight="1" spans="1:61">
      <c r="A17" s="70" t="s">
        <v>170</v>
      </c>
      <c r="B17" s="70" t="s">
        <v>171</v>
      </c>
      <c r="C17" s="71">
        <f t="shared" si="15"/>
        <v>7.3364</v>
      </c>
      <c r="D17" s="71">
        <f t="shared" si="16"/>
        <v>7.3364</v>
      </c>
      <c r="E17" s="71">
        <f t="shared" si="17"/>
        <v>0</v>
      </c>
      <c r="F17" s="71"/>
      <c r="G17" s="71"/>
      <c r="H17" s="71"/>
      <c r="I17" s="71"/>
      <c r="J17" s="71"/>
      <c r="K17" s="71">
        <f t="shared" si="18"/>
        <v>7.3364</v>
      </c>
      <c r="L17" s="72">
        <f>'8一般公共预算基本支出表（纵向）'!D12</f>
        <v>7.3364</v>
      </c>
      <c r="M17" s="71"/>
      <c r="N17" s="71"/>
      <c r="O17" s="71"/>
      <c r="P17" s="71"/>
      <c r="Q17" s="71"/>
      <c r="R17" s="71"/>
      <c r="S17" s="71"/>
      <c r="T17" s="71">
        <f t="shared" si="19"/>
        <v>0</v>
      </c>
      <c r="U17" s="71">
        <f t="shared" si="20"/>
        <v>0</v>
      </c>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f t="shared" si="21"/>
        <v>0</v>
      </c>
      <c r="AX17" s="71"/>
      <c r="AY17" s="71"/>
      <c r="AZ17" s="71"/>
      <c r="BA17" s="71"/>
      <c r="BB17" s="71"/>
      <c r="BC17" s="71"/>
      <c r="BD17" s="71"/>
      <c r="BE17" s="71"/>
      <c r="BF17" s="71"/>
      <c r="BG17" s="71"/>
      <c r="BH17" s="71"/>
      <c r="BI17" s="71"/>
    </row>
    <row r="19" spans="5:6">
      <c r="E19" s="74">
        <f>E9-F9-G9-H9-I9-J9</f>
        <v>0</v>
      </c>
      <c r="F19" s="61">
        <f>C9-D9-T9</f>
        <v>0</v>
      </c>
    </row>
    <row r="20" spans="5:6">
      <c r="E20" s="74">
        <f t="shared" ref="E20:E27" si="24">E10-F10-G10-H10-I10-J10</f>
        <v>0</v>
      </c>
      <c r="F20" s="61">
        <f t="shared" ref="F20:F27" si="25">C10-D10-T10</f>
        <v>0</v>
      </c>
    </row>
    <row r="21" spans="5:6">
      <c r="E21" s="74">
        <f t="shared" si="24"/>
        <v>0</v>
      </c>
      <c r="F21" s="61">
        <f t="shared" si="25"/>
        <v>0</v>
      </c>
    </row>
    <row r="22" spans="5:6">
      <c r="E22" s="74">
        <f t="shared" si="24"/>
        <v>0</v>
      </c>
      <c r="F22" s="61">
        <f t="shared" si="25"/>
        <v>0</v>
      </c>
    </row>
    <row r="23" spans="5:6">
      <c r="E23" s="74">
        <f t="shared" si="24"/>
        <v>0</v>
      </c>
      <c r="F23" s="61">
        <f t="shared" si="25"/>
        <v>0</v>
      </c>
    </row>
    <row r="24" spans="5:6">
      <c r="E24" s="74">
        <f t="shared" si="24"/>
        <v>0</v>
      </c>
      <c r="F24" s="61">
        <f t="shared" si="25"/>
        <v>0</v>
      </c>
    </row>
    <row r="25" spans="5:6">
      <c r="E25" s="74">
        <f t="shared" si="24"/>
        <v>0</v>
      </c>
      <c r="F25" s="61">
        <f t="shared" si="25"/>
        <v>0</v>
      </c>
    </row>
    <row r="26" spans="5:6">
      <c r="E26" s="74">
        <f t="shared" si="24"/>
        <v>0</v>
      </c>
      <c r="F26" s="61">
        <f t="shared" si="25"/>
        <v>0</v>
      </c>
    </row>
    <row r="27" spans="5:6">
      <c r="E27" s="74">
        <f t="shared" si="24"/>
        <v>0</v>
      </c>
      <c r="F27" s="61">
        <f t="shared" si="25"/>
        <v>0</v>
      </c>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8" zoomScaleNormal="138" workbookViewId="0">
      <selection activeCell="F18" sqref="F18:G18"/>
    </sheetView>
  </sheetViews>
  <sheetFormatPr defaultColWidth="10" defaultRowHeight="13.5"/>
  <cols>
    <col min="1" max="1" width="4.38333333333333" style="35" customWidth="1"/>
    <col min="2" max="2" width="4.75" style="35" customWidth="1"/>
    <col min="3" max="3" width="5.38333333333333" style="35" customWidth="1"/>
    <col min="4" max="4" width="9.63333333333333" style="35" customWidth="1"/>
    <col min="5" max="5" width="21.25" style="35" customWidth="1"/>
    <col min="6" max="6" width="13.3833333333333" style="35" customWidth="1"/>
    <col min="7" max="7" width="12.5" style="35" customWidth="1"/>
    <col min="8" max="9" width="10.25" style="35" customWidth="1"/>
    <col min="10" max="10" width="9.13333333333333" style="35" customWidth="1"/>
    <col min="11" max="11" width="10.25" style="35" customWidth="1"/>
    <col min="12" max="12" width="12.5" style="35" customWidth="1"/>
    <col min="13" max="13" width="9.63333333333333" style="35" customWidth="1"/>
    <col min="14" max="14" width="9.88333333333333" style="35" customWidth="1"/>
    <col min="15" max="16" width="9.75" style="35" customWidth="1"/>
    <col min="17" max="16384" width="10" style="35"/>
  </cols>
  <sheetData>
    <row r="1" ht="16.35" customHeight="1" spans="1:14">
      <c r="A1" s="36"/>
      <c r="M1" s="37" t="s">
        <v>373</v>
      </c>
      <c r="N1" s="37"/>
    </row>
    <row r="2" ht="44.85" customHeight="1" spans="1:14">
      <c r="A2" s="38" t="s">
        <v>15</v>
      </c>
      <c r="B2" s="38"/>
      <c r="C2" s="38"/>
      <c r="D2" s="38"/>
      <c r="E2" s="38"/>
      <c r="F2" s="38"/>
      <c r="G2" s="38"/>
      <c r="H2" s="38"/>
      <c r="I2" s="38"/>
      <c r="J2" s="38"/>
      <c r="K2" s="38"/>
      <c r="L2" s="38"/>
      <c r="M2" s="38"/>
      <c r="N2" s="38"/>
    </row>
    <row r="3" ht="22.35" customHeight="1" spans="1:14">
      <c r="A3" s="39" t="str">
        <f>"部门"&amp;":"&amp;封面!E4&amp;封面!E5</f>
        <v>部门:405022益阳市赫山区新市渡镇卫生院</v>
      </c>
      <c r="B3" s="39"/>
      <c r="C3" s="39"/>
      <c r="D3" s="39"/>
      <c r="E3" s="39"/>
      <c r="F3" s="39"/>
      <c r="G3" s="39"/>
      <c r="H3" s="39"/>
      <c r="I3" s="39"/>
      <c r="J3" s="39"/>
      <c r="K3" s="39"/>
      <c r="L3" s="39"/>
      <c r="M3" s="40" t="s">
        <v>31</v>
      </c>
      <c r="N3" s="40"/>
    </row>
    <row r="4" ht="42.2" customHeight="1" spans="1:14">
      <c r="A4" s="41" t="s">
        <v>157</v>
      </c>
      <c r="B4" s="41"/>
      <c r="C4" s="41"/>
      <c r="D4" s="41" t="s">
        <v>198</v>
      </c>
      <c r="E4" s="41" t="s">
        <v>199</v>
      </c>
      <c r="F4" s="41" t="s">
        <v>216</v>
      </c>
      <c r="G4" s="41" t="s">
        <v>201</v>
      </c>
      <c r="H4" s="41"/>
      <c r="I4" s="41"/>
      <c r="J4" s="41"/>
      <c r="K4" s="41"/>
      <c r="L4" s="41" t="s">
        <v>205</v>
      </c>
      <c r="M4" s="41"/>
      <c r="N4" s="41"/>
    </row>
    <row r="5" ht="39.6" customHeight="1" spans="1:14">
      <c r="A5" s="41" t="s">
        <v>165</v>
      </c>
      <c r="B5" s="41" t="s">
        <v>166</v>
      </c>
      <c r="C5" s="41" t="s">
        <v>167</v>
      </c>
      <c r="D5" s="41"/>
      <c r="E5" s="41"/>
      <c r="F5" s="41"/>
      <c r="G5" s="41" t="s">
        <v>136</v>
      </c>
      <c r="H5" s="41" t="s">
        <v>374</v>
      </c>
      <c r="I5" s="41" t="s">
        <v>375</v>
      </c>
      <c r="J5" s="41" t="s">
        <v>312</v>
      </c>
      <c r="K5" s="41" t="s">
        <v>313</v>
      </c>
      <c r="L5" s="41" t="s">
        <v>136</v>
      </c>
      <c r="M5" s="41" t="s">
        <v>217</v>
      </c>
      <c r="N5" s="41" t="s">
        <v>376</v>
      </c>
    </row>
    <row r="6" ht="22.9" customHeight="1" spans="1:14">
      <c r="A6" s="42"/>
      <c r="B6" s="42"/>
      <c r="C6" s="42"/>
      <c r="D6" s="42"/>
      <c r="E6" s="42" t="s">
        <v>136</v>
      </c>
      <c r="F6" s="48">
        <f>'1收支总表'!H6</f>
        <v>51.88118</v>
      </c>
      <c r="G6" s="48">
        <f>F6</f>
        <v>51.88118</v>
      </c>
      <c r="H6" s="48">
        <f>H7</f>
        <v>35.011</v>
      </c>
      <c r="I6" s="48">
        <f>I7</f>
        <v>11.35538</v>
      </c>
      <c r="J6" s="48">
        <f>J8</f>
        <v>5.5148</v>
      </c>
      <c r="K6" s="48"/>
      <c r="L6" s="48"/>
      <c r="M6" s="48"/>
      <c r="N6" s="48"/>
    </row>
    <row r="7" ht="22.9" customHeight="1" spans="1:14">
      <c r="A7" s="42"/>
      <c r="B7" s="42"/>
      <c r="C7" s="42"/>
      <c r="D7" s="44" t="s">
        <v>154</v>
      </c>
      <c r="E7" s="44" t="s">
        <v>155</v>
      </c>
      <c r="F7" s="48">
        <f>F6</f>
        <v>51.88118</v>
      </c>
      <c r="G7" s="48">
        <f>G6</f>
        <v>51.88118</v>
      </c>
      <c r="H7" s="48">
        <f>H8</f>
        <v>35.011</v>
      </c>
      <c r="I7" s="48">
        <f>I8</f>
        <v>11.35538</v>
      </c>
      <c r="J7" s="48">
        <f>J8</f>
        <v>5.5148</v>
      </c>
      <c r="K7" s="48"/>
      <c r="L7" s="48"/>
      <c r="M7" s="48"/>
      <c r="N7" s="48"/>
    </row>
    <row r="8" ht="22.9" customHeight="1" spans="1:14">
      <c r="A8" s="42"/>
      <c r="B8" s="42"/>
      <c r="C8" s="42"/>
      <c r="D8" s="44">
        <f>封面!E4</f>
        <v>405022</v>
      </c>
      <c r="E8" s="44" t="str">
        <f>封面!E5</f>
        <v>益阳市赫山区新市渡镇卫生院</v>
      </c>
      <c r="F8" s="48">
        <f>F7</f>
        <v>51.88118</v>
      </c>
      <c r="G8" s="48">
        <f>G7</f>
        <v>51.88118</v>
      </c>
      <c r="H8" s="48">
        <f>H10</f>
        <v>35.011</v>
      </c>
      <c r="I8" s="48">
        <f>I9+I11</f>
        <v>11.35538</v>
      </c>
      <c r="J8" s="48">
        <f>J10</f>
        <v>5.5148</v>
      </c>
      <c r="K8" s="48"/>
      <c r="L8" s="48"/>
      <c r="M8" s="48"/>
      <c r="N8" s="48"/>
    </row>
    <row r="9" ht="22.9" customHeight="1" spans="1:14">
      <c r="A9" s="49" t="s">
        <v>168</v>
      </c>
      <c r="B9" s="49" t="s">
        <v>169</v>
      </c>
      <c r="C9" s="49" t="s">
        <v>169</v>
      </c>
      <c r="D9" s="50" t="s">
        <v>225</v>
      </c>
      <c r="E9" s="47" t="s">
        <v>171</v>
      </c>
      <c r="F9" s="55">
        <f>G9</f>
        <v>7.3364</v>
      </c>
      <c r="G9" s="55">
        <f>H9+I9+J9+K9</f>
        <v>7.3364</v>
      </c>
      <c r="H9" s="45"/>
      <c r="I9" s="45">
        <f>VLOOKUP(封面!$E$5,[1]一般预算拨款!$A$7:$I$32,8,0)</f>
        <v>7.3364</v>
      </c>
      <c r="J9" s="45"/>
      <c r="K9" s="45"/>
      <c r="L9" s="55"/>
      <c r="M9" s="45"/>
      <c r="N9" s="45"/>
    </row>
    <row r="10" ht="22.9" customHeight="1" spans="1:14">
      <c r="A10" s="49" t="s">
        <v>172</v>
      </c>
      <c r="B10" s="49" t="s">
        <v>173</v>
      </c>
      <c r="C10" s="49" t="s">
        <v>173</v>
      </c>
      <c r="D10" s="50" t="s">
        <v>225</v>
      </c>
      <c r="E10" s="47" t="s">
        <v>175</v>
      </c>
      <c r="F10" s="55">
        <f t="shared" ref="F10:F11" si="0">G10</f>
        <v>40.5258</v>
      </c>
      <c r="G10" s="55">
        <f t="shared" ref="G10:G11" si="1">H10+I10+J10+K10</f>
        <v>40.5258</v>
      </c>
      <c r="H10" s="45">
        <f>VLOOKUP(封面!$E$5,[1]一般预算拨款!$A$7:$I$32,3,0)+VLOOKUP(封面!$E$5,[1]一般预算拨款!$A$7:$I$32,4,0)+VLOOKUP(封面!$E$5,[1]一般预算拨款!$A$7:$I$32,5,0)+VLOOKUP(封面!$E$5,[1]一般预算拨款!$A$7:$I$32,6,0)</f>
        <v>35.011</v>
      </c>
      <c r="I10" s="45"/>
      <c r="J10" s="45">
        <f>VLOOKUP(封面!$E$5,[1]一般预算拨款!$A$7:$I$32,9,0)</f>
        <v>5.5148</v>
      </c>
      <c r="K10" s="45"/>
      <c r="L10" s="55"/>
      <c r="M10" s="45"/>
      <c r="N10" s="45"/>
    </row>
    <row r="11" ht="22.9" customHeight="1" spans="1:14">
      <c r="A11" s="49" t="s">
        <v>172</v>
      </c>
      <c r="B11" s="49" t="s">
        <v>194</v>
      </c>
      <c r="C11" s="49" t="s">
        <v>173</v>
      </c>
      <c r="D11" s="50" t="s">
        <v>225</v>
      </c>
      <c r="E11" s="47" t="s">
        <v>196</v>
      </c>
      <c r="F11" s="55">
        <f t="shared" si="0"/>
        <v>4.01898</v>
      </c>
      <c r="G11" s="55">
        <f t="shared" si="1"/>
        <v>4.01898</v>
      </c>
      <c r="H11" s="45"/>
      <c r="I11" s="45">
        <f>VLOOKUP(封面!$E$5,[1]一般预算拨款!$A$7:$I$32,7,0)</f>
        <v>4.01898</v>
      </c>
      <c r="J11" s="45"/>
      <c r="K11" s="45"/>
      <c r="L11" s="55"/>
      <c r="M11" s="45"/>
      <c r="N11" s="45"/>
    </row>
    <row r="14" spans="6:11">
      <c r="F14" s="60"/>
      <c r="G14" s="60"/>
      <c r="H14" s="60"/>
      <c r="I14" s="60"/>
      <c r="J14" s="60"/>
      <c r="K14" s="60"/>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0"/>
  <sheetViews>
    <sheetView topLeftCell="E1" workbookViewId="0">
      <selection activeCell="X6" sqref="X6"/>
    </sheetView>
  </sheetViews>
  <sheetFormatPr defaultColWidth="10" defaultRowHeight="13.5"/>
  <cols>
    <col min="1" max="1" width="5" style="35" customWidth="1"/>
    <col min="2" max="2" width="5.13333333333333" style="35" customWidth="1"/>
    <col min="3" max="3" width="5.75" style="35" customWidth="1"/>
    <col min="4" max="4" width="8" style="35" customWidth="1"/>
    <col min="5" max="5" width="20.1333333333333" style="35" customWidth="1"/>
    <col min="6" max="6" width="14" style="35" customWidth="1"/>
    <col min="7" max="7" width="11.8583333333333" style="35" customWidth="1"/>
    <col min="8" max="8" width="10.5916666666667" style="35" customWidth="1"/>
    <col min="9" max="22" width="7.75" style="35" customWidth="1"/>
    <col min="23" max="24" width="9.75" style="35" customWidth="1"/>
    <col min="25" max="16384" width="10" style="35"/>
  </cols>
  <sheetData>
    <row r="1" ht="16.35" customHeight="1" spans="1:23">
      <c r="A1" s="36"/>
      <c r="U1" s="58" t="s">
        <v>377</v>
      </c>
      <c r="V1" s="59"/>
      <c r="W1" s="36"/>
    </row>
    <row r="2" ht="50.1" customHeight="1" spans="1:22">
      <c r="A2" s="56" t="s">
        <v>16</v>
      </c>
      <c r="B2" s="56"/>
      <c r="C2" s="56"/>
      <c r="D2" s="56"/>
      <c r="E2" s="56"/>
      <c r="F2" s="56"/>
      <c r="G2" s="56"/>
      <c r="H2" s="56"/>
      <c r="I2" s="56"/>
      <c r="J2" s="56"/>
      <c r="K2" s="56"/>
      <c r="L2" s="56"/>
      <c r="M2" s="56"/>
      <c r="N2" s="56"/>
      <c r="O2" s="56"/>
      <c r="P2" s="56"/>
      <c r="Q2" s="56"/>
      <c r="R2" s="56"/>
      <c r="S2" s="56"/>
      <c r="T2" s="56"/>
      <c r="U2" s="56"/>
      <c r="V2" s="56"/>
    </row>
    <row r="3" ht="24.2" customHeight="1" spans="1:22">
      <c r="A3" s="39" t="str">
        <f>"部门"&amp;":"&amp;封面!E4&amp;封面!E5</f>
        <v>部门:405022益阳市赫山区新市渡镇卫生院</v>
      </c>
      <c r="B3" s="39"/>
      <c r="C3" s="39"/>
      <c r="D3" s="39"/>
      <c r="E3" s="39"/>
      <c r="F3" s="39"/>
      <c r="G3" s="39"/>
      <c r="H3" s="39"/>
      <c r="I3" s="39"/>
      <c r="J3" s="39"/>
      <c r="K3" s="39"/>
      <c r="L3" s="39"/>
      <c r="M3" s="39"/>
      <c r="N3" s="39"/>
      <c r="O3" s="39"/>
      <c r="P3" s="39"/>
      <c r="Q3" s="39"/>
      <c r="R3" s="39"/>
      <c r="S3" s="39"/>
      <c r="T3" s="39"/>
      <c r="U3" s="40" t="s">
        <v>31</v>
      </c>
      <c r="V3" s="40"/>
    </row>
    <row r="4" ht="26.65" customHeight="1" spans="1:22">
      <c r="A4" s="41" t="s">
        <v>157</v>
      </c>
      <c r="B4" s="41"/>
      <c r="C4" s="41"/>
      <c r="D4" s="41" t="s">
        <v>198</v>
      </c>
      <c r="E4" s="41" t="s">
        <v>199</v>
      </c>
      <c r="F4" s="41" t="s">
        <v>216</v>
      </c>
      <c r="G4" s="41" t="s">
        <v>378</v>
      </c>
      <c r="H4" s="41"/>
      <c r="I4" s="41"/>
      <c r="J4" s="41"/>
      <c r="K4" s="41"/>
      <c r="L4" s="41" t="s">
        <v>379</v>
      </c>
      <c r="M4" s="41"/>
      <c r="N4" s="41"/>
      <c r="O4" s="41"/>
      <c r="P4" s="41"/>
      <c r="Q4" s="41"/>
      <c r="R4" s="41" t="s">
        <v>312</v>
      </c>
      <c r="S4" s="41" t="s">
        <v>380</v>
      </c>
      <c r="T4" s="41"/>
      <c r="U4" s="41"/>
      <c r="V4" s="41"/>
    </row>
    <row r="5" ht="56.1" customHeight="1" spans="1:22">
      <c r="A5" s="41" t="s">
        <v>165</v>
      </c>
      <c r="B5" s="41" t="s">
        <v>166</v>
      </c>
      <c r="C5" s="41" t="s">
        <v>167</v>
      </c>
      <c r="D5" s="41"/>
      <c r="E5" s="41"/>
      <c r="F5" s="41"/>
      <c r="G5" s="41" t="s">
        <v>136</v>
      </c>
      <c r="H5" s="41" t="s">
        <v>335</v>
      </c>
      <c r="I5" s="41" t="s">
        <v>336</v>
      </c>
      <c r="J5" s="41" t="s">
        <v>338</v>
      </c>
      <c r="K5" s="41" t="s">
        <v>339</v>
      </c>
      <c r="L5" s="41" t="s">
        <v>136</v>
      </c>
      <c r="M5" s="41" t="s">
        <v>340</v>
      </c>
      <c r="N5" s="41" t="s">
        <v>341</v>
      </c>
      <c r="O5" s="41" t="s">
        <v>342</v>
      </c>
      <c r="P5" s="41" t="s">
        <v>343</v>
      </c>
      <c r="Q5" s="41" t="s">
        <v>345</v>
      </c>
      <c r="R5" s="41"/>
      <c r="S5" s="41" t="s">
        <v>136</v>
      </c>
      <c r="T5" s="41" t="s">
        <v>337</v>
      </c>
      <c r="U5" s="41" t="s">
        <v>344</v>
      </c>
      <c r="V5" s="41" t="s">
        <v>313</v>
      </c>
    </row>
    <row r="6" ht="22.9" customHeight="1" spans="1:22">
      <c r="A6" s="42"/>
      <c r="B6" s="42"/>
      <c r="C6" s="42"/>
      <c r="D6" s="42"/>
      <c r="E6" s="42" t="s">
        <v>136</v>
      </c>
      <c r="F6" s="43">
        <f>'1收支总表'!F7</f>
        <v>51.88118</v>
      </c>
      <c r="G6" s="43">
        <f>G7</f>
        <v>35.011</v>
      </c>
      <c r="H6" s="43">
        <f t="shared" ref="H6:J7" si="0">H7</f>
        <v>35.011</v>
      </c>
      <c r="I6" s="43">
        <f t="shared" si="0"/>
        <v>0</v>
      </c>
      <c r="J6" s="43">
        <f t="shared" si="0"/>
        <v>0</v>
      </c>
      <c r="K6" s="43"/>
      <c r="L6" s="43">
        <f>M6+O6</f>
        <v>11.35538</v>
      </c>
      <c r="M6" s="43">
        <f>M7</f>
        <v>7.3364</v>
      </c>
      <c r="N6" s="43"/>
      <c r="O6" s="43">
        <f>O7</f>
        <v>4.01898</v>
      </c>
      <c r="P6" s="43"/>
      <c r="Q6" s="43"/>
      <c r="R6" s="43">
        <f>R7</f>
        <v>5.5148</v>
      </c>
      <c r="S6" s="43"/>
      <c r="T6" s="43"/>
      <c r="U6" s="43"/>
      <c r="V6" s="43"/>
    </row>
    <row r="7" ht="22.9" customHeight="1" spans="1:22">
      <c r="A7" s="42"/>
      <c r="B7" s="42"/>
      <c r="C7" s="42"/>
      <c r="D7" s="44" t="s">
        <v>154</v>
      </c>
      <c r="E7" s="44" t="s">
        <v>155</v>
      </c>
      <c r="F7" s="43">
        <f>F6</f>
        <v>51.88118</v>
      </c>
      <c r="G7" s="43">
        <f>G8</f>
        <v>35.011</v>
      </c>
      <c r="H7" s="43">
        <f t="shared" si="0"/>
        <v>35.011</v>
      </c>
      <c r="I7" s="43">
        <f t="shared" si="0"/>
        <v>0</v>
      </c>
      <c r="J7" s="43">
        <f t="shared" si="0"/>
        <v>0</v>
      </c>
      <c r="K7" s="43"/>
      <c r="L7" s="43">
        <f t="shared" ref="L7:L11" si="1">M7+O7</f>
        <v>11.35538</v>
      </c>
      <c r="M7" s="43">
        <f>M8</f>
        <v>7.3364</v>
      </c>
      <c r="N7" s="43"/>
      <c r="O7" s="43">
        <f>O8</f>
        <v>4.01898</v>
      </c>
      <c r="P7" s="43"/>
      <c r="Q7" s="43"/>
      <c r="R7" s="43">
        <f>R8</f>
        <v>5.5148</v>
      </c>
      <c r="S7" s="43"/>
      <c r="T7" s="43"/>
      <c r="U7" s="43"/>
      <c r="V7" s="43"/>
    </row>
    <row r="8" ht="22.9" customHeight="1" spans="1:22">
      <c r="A8" s="42"/>
      <c r="B8" s="42"/>
      <c r="C8" s="42"/>
      <c r="D8" s="44">
        <f>封面!E4</f>
        <v>405022</v>
      </c>
      <c r="E8" s="44" t="str">
        <f>封面!E5</f>
        <v>益阳市赫山区新市渡镇卫生院</v>
      </c>
      <c r="F8" s="43">
        <f>F7</f>
        <v>51.88118</v>
      </c>
      <c r="G8" s="43">
        <f>G10</f>
        <v>35.011</v>
      </c>
      <c r="H8" s="43">
        <f t="shared" ref="H8:J8" si="2">H10</f>
        <v>35.011</v>
      </c>
      <c r="I8" s="43">
        <f t="shared" si="2"/>
        <v>0</v>
      </c>
      <c r="J8" s="43">
        <f t="shared" si="2"/>
        <v>0</v>
      </c>
      <c r="K8" s="43"/>
      <c r="L8" s="43">
        <f t="shared" si="1"/>
        <v>11.35538</v>
      </c>
      <c r="M8" s="43">
        <f>M9+M10+M11</f>
        <v>7.3364</v>
      </c>
      <c r="N8" s="43"/>
      <c r="O8" s="43">
        <f>O9+O10+O11</f>
        <v>4.01898</v>
      </c>
      <c r="P8" s="43"/>
      <c r="Q8" s="43"/>
      <c r="R8" s="43">
        <f>R9+R10+R11</f>
        <v>5.5148</v>
      </c>
      <c r="S8" s="43"/>
      <c r="T8" s="43"/>
      <c r="U8" s="43"/>
      <c r="V8" s="43"/>
    </row>
    <row r="9" ht="22.9" customHeight="1" spans="1:22">
      <c r="A9" s="49" t="s">
        <v>168</v>
      </c>
      <c r="B9" s="49" t="s">
        <v>169</v>
      </c>
      <c r="C9" s="49" t="s">
        <v>169</v>
      </c>
      <c r="D9" s="50">
        <f>D8</f>
        <v>405022</v>
      </c>
      <c r="E9" s="47" t="s">
        <v>171</v>
      </c>
      <c r="F9" s="55">
        <f>G9+L9+R9</f>
        <v>7.3364</v>
      </c>
      <c r="G9" s="45"/>
      <c r="H9" s="45"/>
      <c r="I9" s="45"/>
      <c r="J9" s="45"/>
      <c r="K9" s="45"/>
      <c r="L9" s="43">
        <f t="shared" si="1"/>
        <v>7.3364</v>
      </c>
      <c r="M9" s="45">
        <f>'10工资福利(政府预算)'!I9</f>
        <v>7.3364</v>
      </c>
      <c r="N9" s="45"/>
      <c r="O9" s="45"/>
      <c r="P9" s="45"/>
      <c r="Q9" s="45"/>
      <c r="R9" s="45"/>
      <c r="S9" s="55"/>
      <c r="T9" s="45"/>
      <c r="U9" s="45"/>
      <c r="V9" s="45"/>
    </row>
    <row r="10" ht="22.9" customHeight="1" spans="1:22">
      <c r="A10" s="49" t="s">
        <v>172</v>
      </c>
      <c r="B10" s="49" t="s">
        <v>173</v>
      </c>
      <c r="C10" s="49" t="s">
        <v>173</v>
      </c>
      <c r="D10" s="50">
        <f>D9</f>
        <v>405022</v>
      </c>
      <c r="E10" s="47" t="s">
        <v>175</v>
      </c>
      <c r="F10" s="55">
        <f t="shared" ref="F10:F11" si="3">G10+L10+R10</f>
        <v>40.5258</v>
      </c>
      <c r="G10" s="43">
        <f t="shared" ref="G10" si="4">H10+I10+J10+K10</f>
        <v>35.011</v>
      </c>
      <c r="H10" s="45">
        <f>VLOOKUP(封面!$E$5,[1]一般预算拨款!$A$7:$I$32,3,0)</f>
        <v>35.011</v>
      </c>
      <c r="I10" s="45">
        <f>VLOOKUP(封面!$E$5,[1]一般预算拨款!$A$7:$I$32,4,0)</f>
        <v>0</v>
      </c>
      <c r="J10" s="45">
        <f>VLOOKUP(封面!$E$5,[1]一般预算拨款!$A$7:$I$32,6,0)+VLOOKUP(封面!$E$5,[1]一般预算拨款!$A$7:$I$32,5,0)</f>
        <v>0</v>
      </c>
      <c r="K10" s="45"/>
      <c r="L10" s="55"/>
      <c r="M10" s="45"/>
      <c r="N10" s="45"/>
      <c r="O10" s="45"/>
      <c r="P10" s="45"/>
      <c r="Q10" s="45"/>
      <c r="R10" s="45">
        <f>'10工资福利(政府预算)'!J10</f>
        <v>5.5148</v>
      </c>
      <c r="S10" s="55"/>
      <c r="T10" s="45"/>
      <c r="U10" s="45"/>
      <c r="V10" s="45"/>
    </row>
    <row r="11" ht="22.9" customHeight="1" spans="1:22">
      <c r="A11" s="49" t="s">
        <v>172</v>
      </c>
      <c r="B11" s="49" t="s">
        <v>194</v>
      </c>
      <c r="C11" s="49" t="s">
        <v>173</v>
      </c>
      <c r="D11" s="50">
        <f>D10</f>
        <v>405022</v>
      </c>
      <c r="E11" s="47" t="s">
        <v>196</v>
      </c>
      <c r="F11" s="55">
        <f t="shared" si="3"/>
        <v>4.01898</v>
      </c>
      <c r="G11" s="45"/>
      <c r="H11" s="45"/>
      <c r="I11" s="45"/>
      <c r="J11" s="45"/>
      <c r="K11" s="45"/>
      <c r="L11" s="43">
        <f t="shared" si="1"/>
        <v>4.01898</v>
      </c>
      <c r="M11" s="45"/>
      <c r="N11" s="45"/>
      <c r="O11" s="45">
        <f>'10工资福利(政府预算)'!I11</f>
        <v>4.01898</v>
      </c>
      <c r="P11" s="45"/>
      <c r="Q11" s="45"/>
      <c r="R11" s="45"/>
      <c r="S11" s="55"/>
      <c r="T11" s="45"/>
      <c r="U11" s="45"/>
      <c r="V11" s="45"/>
    </row>
    <row r="13" spans="7:8">
      <c r="G13" s="57"/>
      <c r="H13" s="57"/>
    </row>
    <row r="14" spans="7:8">
      <c r="G14" s="57"/>
      <c r="H14" s="57"/>
    </row>
    <row r="15" spans="7:8">
      <c r="G15" s="57"/>
      <c r="H15" s="57"/>
    </row>
    <row r="16" spans="7:8">
      <c r="G16" s="57"/>
      <c r="H16" s="57"/>
    </row>
    <row r="17" spans="7:8">
      <c r="G17" s="57"/>
      <c r="H17" s="57"/>
    </row>
    <row r="18" spans="7:8">
      <c r="G18" s="57"/>
      <c r="H18" s="57"/>
    </row>
    <row r="19" spans="7:8">
      <c r="G19" s="57"/>
      <c r="H19" s="57"/>
    </row>
    <row r="20" spans="7:8">
      <c r="G20" s="57"/>
      <c r="H20" s="5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30" zoomScaleNormal="130" topLeftCell="C1" workbookViewId="0">
      <selection activeCell="C1" sqref="$A1:$XFD1048576"/>
    </sheetView>
  </sheetViews>
  <sheetFormatPr defaultColWidth="10" defaultRowHeight="13.5"/>
  <cols>
    <col min="1" max="1" width="4.75" style="35" customWidth="1"/>
    <col min="2" max="2" width="5.88333333333333" style="35" customWidth="1"/>
    <col min="3" max="3" width="7.63333333333333" style="35" customWidth="1"/>
    <col min="4" max="4" width="12.5" style="35" customWidth="1"/>
    <col min="5" max="5" width="29.8833333333333" style="35" customWidth="1"/>
    <col min="6" max="6" width="16.3833333333333" style="35" customWidth="1"/>
    <col min="7" max="7" width="13.3833333333333" style="35" customWidth="1"/>
    <col min="8" max="8" width="11.1333333333333" style="35" customWidth="1"/>
    <col min="9" max="9" width="12.1333333333333" style="35" customWidth="1"/>
    <col min="10" max="10" width="12" style="35" customWidth="1"/>
    <col min="11" max="11" width="11.5" style="35" customWidth="1"/>
    <col min="12" max="13" width="9.75" style="35" customWidth="1"/>
    <col min="14" max="16384" width="10" style="35"/>
  </cols>
  <sheetData>
    <row r="1" ht="16.35" customHeight="1" spans="1:11">
      <c r="A1" s="36"/>
      <c r="K1" s="37" t="s">
        <v>381</v>
      </c>
    </row>
    <row r="2" ht="46.5" customHeight="1" spans="1:11">
      <c r="A2" s="38" t="s">
        <v>17</v>
      </c>
      <c r="B2" s="38"/>
      <c r="C2" s="38"/>
      <c r="D2" s="38"/>
      <c r="E2" s="38"/>
      <c r="F2" s="38"/>
      <c r="G2" s="38"/>
      <c r="H2" s="38"/>
      <c r="I2" s="38"/>
      <c r="J2" s="38"/>
      <c r="K2" s="38"/>
    </row>
    <row r="3" ht="18.2" customHeight="1" spans="1:11">
      <c r="A3" s="39" t="str">
        <f>"部门"&amp;":"&amp;封面!E4&amp;封面!E5</f>
        <v>部门:405022益阳市赫山区新市渡镇卫生院</v>
      </c>
      <c r="B3" s="39"/>
      <c r="C3" s="39"/>
      <c r="D3" s="39"/>
      <c r="E3" s="39"/>
      <c r="F3" s="39"/>
      <c r="G3" s="39"/>
      <c r="H3" s="39"/>
      <c r="I3" s="39"/>
      <c r="J3" s="40" t="s">
        <v>31</v>
      </c>
      <c r="K3" s="40"/>
    </row>
    <row r="4" ht="23.25" customHeight="1" spans="1:11">
      <c r="A4" s="41" t="s">
        <v>157</v>
      </c>
      <c r="B4" s="41"/>
      <c r="C4" s="41"/>
      <c r="D4" s="41" t="s">
        <v>198</v>
      </c>
      <c r="E4" s="41" t="s">
        <v>199</v>
      </c>
      <c r="F4" s="41" t="s">
        <v>306</v>
      </c>
      <c r="G4" s="41" t="s">
        <v>382</v>
      </c>
      <c r="H4" s="41" t="s">
        <v>329</v>
      </c>
      <c r="I4" s="41" t="s">
        <v>331</v>
      </c>
      <c r="J4" s="41" t="s">
        <v>383</v>
      </c>
      <c r="K4" s="41" t="s">
        <v>333</v>
      </c>
    </row>
    <row r="5" ht="23.25" customHeight="1" spans="1:11">
      <c r="A5" s="41" t="s">
        <v>165</v>
      </c>
      <c r="B5" s="41" t="s">
        <v>166</v>
      </c>
      <c r="C5" s="41" t="s">
        <v>167</v>
      </c>
      <c r="D5" s="41"/>
      <c r="E5" s="41"/>
      <c r="F5" s="41"/>
      <c r="G5" s="41"/>
      <c r="H5" s="41"/>
      <c r="I5" s="41"/>
      <c r="J5" s="41"/>
      <c r="K5" s="41"/>
    </row>
    <row r="6" ht="22.9" customHeight="1" spans="1:11">
      <c r="A6" s="42"/>
      <c r="B6" s="42"/>
      <c r="C6" s="42"/>
      <c r="D6" s="42"/>
      <c r="E6" s="42" t="s">
        <v>136</v>
      </c>
      <c r="F6" s="43"/>
      <c r="G6" s="43"/>
      <c r="H6" s="43"/>
      <c r="I6" s="43"/>
      <c r="J6" s="43"/>
      <c r="K6" s="43"/>
    </row>
    <row r="7" ht="22.9" customHeight="1" spans="1:11">
      <c r="A7" s="42"/>
      <c r="B7" s="42"/>
      <c r="C7" s="42"/>
      <c r="D7" s="44" t="s">
        <v>154</v>
      </c>
      <c r="E7" s="44" t="s">
        <v>155</v>
      </c>
      <c r="F7" s="43"/>
      <c r="G7" s="43"/>
      <c r="H7" s="43"/>
      <c r="I7" s="43"/>
      <c r="J7" s="43"/>
      <c r="K7" s="43"/>
    </row>
    <row r="8" ht="22.9" customHeight="1" spans="1:11">
      <c r="A8" s="42"/>
      <c r="B8" s="42"/>
      <c r="C8" s="42"/>
      <c r="D8" s="44">
        <f>封面!E4</f>
        <v>405022</v>
      </c>
      <c r="E8" s="44" t="str">
        <f>封面!E5</f>
        <v>益阳市赫山区新市渡镇卫生院</v>
      </c>
      <c r="F8" s="43"/>
      <c r="G8" s="43"/>
      <c r="H8" s="43"/>
      <c r="I8" s="43"/>
      <c r="J8" s="43"/>
      <c r="K8" s="43"/>
    </row>
    <row r="9" ht="22.9" customHeight="1" spans="1:11">
      <c r="A9" s="49" t="s">
        <v>172</v>
      </c>
      <c r="B9" s="49" t="s">
        <v>173</v>
      </c>
      <c r="C9" s="49" t="s">
        <v>173</v>
      </c>
      <c r="D9" s="50">
        <f>D8</f>
        <v>405022</v>
      </c>
      <c r="E9" s="47" t="s">
        <v>175</v>
      </c>
      <c r="F9" s="55"/>
      <c r="G9" s="45"/>
      <c r="H9" s="45"/>
      <c r="I9" s="45"/>
      <c r="J9" s="45"/>
      <c r="K9" s="45"/>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10" zoomScaleNormal="110" workbookViewId="0">
      <selection activeCell="A12" sqref="$A12:$XFD12"/>
    </sheetView>
  </sheetViews>
  <sheetFormatPr defaultColWidth="10" defaultRowHeight="13.5"/>
  <cols>
    <col min="1" max="1" width="4.75" style="35" customWidth="1"/>
    <col min="2" max="2" width="5.38333333333333" style="35" customWidth="1"/>
    <col min="3" max="3" width="6" style="35" customWidth="1"/>
    <col min="4" max="4" width="9.75" style="35" customWidth="1"/>
    <col min="5" max="5" width="20.1333333333333" style="35" customWidth="1"/>
    <col min="6" max="17" width="7.75" style="35" customWidth="1"/>
    <col min="18" max="18" width="8.5" style="35" customWidth="1"/>
    <col min="19" max="20" width="9.75" style="35" customWidth="1"/>
    <col min="21" max="16384" width="10" style="35"/>
  </cols>
  <sheetData>
    <row r="1" ht="16.35" customHeight="1" spans="1:18">
      <c r="A1" s="36"/>
      <c r="Q1" s="37" t="s">
        <v>384</v>
      </c>
      <c r="R1" s="37"/>
    </row>
    <row r="2" ht="40.5" customHeight="1" spans="1:18">
      <c r="A2" s="38" t="s">
        <v>18</v>
      </c>
      <c r="B2" s="38"/>
      <c r="C2" s="38"/>
      <c r="D2" s="38"/>
      <c r="E2" s="38"/>
      <c r="F2" s="38"/>
      <c r="G2" s="38"/>
      <c r="H2" s="38"/>
      <c r="I2" s="38"/>
      <c r="J2" s="38"/>
      <c r="K2" s="38"/>
      <c r="L2" s="38"/>
      <c r="M2" s="38"/>
      <c r="N2" s="38"/>
      <c r="O2" s="38"/>
      <c r="P2" s="38"/>
      <c r="Q2" s="38"/>
      <c r="R2" s="38"/>
    </row>
    <row r="3" ht="24.2" customHeight="1" spans="1:18">
      <c r="A3" s="39" t="str">
        <f>"部门"&amp;":"&amp;封面!E4&amp;封面!E5</f>
        <v>部门:405022益阳市赫山区新市渡镇卫生院</v>
      </c>
      <c r="B3" s="39"/>
      <c r="C3" s="39"/>
      <c r="D3" s="39"/>
      <c r="E3" s="39"/>
      <c r="F3" s="39"/>
      <c r="G3" s="39"/>
      <c r="H3" s="39"/>
      <c r="I3" s="39"/>
      <c r="J3" s="39"/>
      <c r="K3" s="39"/>
      <c r="L3" s="39"/>
      <c r="M3" s="39"/>
      <c r="N3" s="39"/>
      <c r="O3" s="39"/>
      <c r="P3" s="39"/>
      <c r="Q3" s="40" t="s">
        <v>31</v>
      </c>
      <c r="R3" s="40"/>
    </row>
    <row r="4" ht="24.2" customHeight="1" spans="1:18">
      <c r="A4" s="41" t="s">
        <v>157</v>
      </c>
      <c r="B4" s="41"/>
      <c r="C4" s="41"/>
      <c r="D4" s="41" t="s">
        <v>198</v>
      </c>
      <c r="E4" s="41" t="s">
        <v>199</v>
      </c>
      <c r="F4" s="41" t="s">
        <v>306</v>
      </c>
      <c r="G4" s="41" t="s">
        <v>322</v>
      </c>
      <c r="H4" s="41" t="s">
        <v>323</v>
      </c>
      <c r="I4" s="41" t="s">
        <v>324</v>
      </c>
      <c r="J4" s="41" t="s">
        <v>325</v>
      </c>
      <c r="K4" s="41" t="s">
        <v>326</v>
      </c>
      <c r="L4" s="41" t="s">
        <v>327</v>
      </c>
      <c r="M4" s="41" t="s">
        <v>328</v>
      </c>
      <c r="N4" s="41" t="s">
        <v>329</v>
      </c>
      <c r="O4" s="41" t="s">
        <v>330</v>
      </c>
      <c r="P4" s="41" t="s">
        <v>332</v>
      </c>
      <c r="Q4" s="41" t="s">
        <v>331</v>
      </c>
      <c r="R4" s="41" t="s">
        <v>333</v>
      </c>
    </row>
    <row r="5" ht="21.6" customHeight="1" spans="1:18">
      <c r="A5" s="41" t="s">
        <v>165</v>
      </c>
      <c r="B5" s="41" t="s">
        <v>166</v>
      </c>
      <c r="C5" s="41" t="s">
        <v>167</v>
      </c>
      <c r="D5" s="41"/>
      <c r="E5" s="41"/>
      <c r="F5" s="41"/>
      <c r="G5" s="41"/>
      <c r="H5" s="41"/>
      <c r="I5" s="41"/>
      <c r="J5" s="41"/>
      <c r="K5" s="41"/>
      <c r="L5" s="41"/>
      <c r="M5" s="41"/>
      <c r="N5" s="41"/>
      <c r="O5" s="41"/>
      <c r="P5" s="41"/>
      <c r="Q5" s="41"/>
      <c r="R5" s="41"/>
    </row>
    <row r="6" ht="22.9" customHeight="1" spans="1:18">
      <c r="A6" s="42"/>
      <c r="B6" s="42"/>
      <c r="C6" s="42"/>
      <c r="D6" s="42"/>
      <c r="E6" s="42" t="s">
        <v>136</v>
      </c>
      <c r="F6" s="43"/>
      <c r="G6" s="43"/>
      <c r="H6" s="43"/>
      <c r="I6" s="43"/>
      <c r="J6" s="43"/>
      <c r="K6" s="43"/>
      <c r="L6" s="43"/>
      <c r="M6" s="43"/>
      <c r="N6" s="43"/>
      <c r="O6" s="43"/>
      <c r="P6" s="43"/>
      <c r="Q6" s="43"/>
      <c r="R6" s="43"/>
    </row>
    <row r="7" ht="22.9" customHeight="1" spans="1:18">
      <c r="A7" s="42"/>
      <c r="B7" s="42"/>
      <c r="C7" s="42"/>
      <c r="D7" s="44" t="s">
        <v>154</v>
      </c>
      <c r="E7" s="44" t="s">
        <v>155</v>
      </c>
      <c r="F7" s="43"/>
      <c r="G7" s="43"/>
      <c r="H7" s="43"/>
      <c r="I7" s="43"/>
      <c r="J7" s="43"/>
      <c r="K7" s="43"/>
      <c r="L7" s="43"/>
      <c r="M7" s="43"/>
      <c r="N7" s="43"/>
      <c r="O7" s="43"/>
      <c r="P7" s="43"/>
      <c r="Q7" s="43"/>
      <c r="R7" s="43"/>
    </row>
    <row r="8" ht="22.9" customHeight="1" spans="1:18">
      <c r="A8" s="42"/>
      <c r="B8" s="42"/>
      <c r="C8" s="42"/>
      <c r="D8" s="44">
        <f>封面!E4</f>
        <v>405022</v>
      </c>
      <c r="E8" s="44" t="str">
        <f>封面!E5</f>
        <v>益阳市赫山区新市渡镇卫生院</v>
      </c>
      <c r="F8" s="43"/>
      <c r="G8" s="43"/>
      <c r="H8" s="43"/>
      <c r="I8" s="43"/>
      <c r="J8" s="43"/>
      <c r="K8" s="43"/>
      <c r="L8" s="43"/>
      <c r="M8" s="43"/>
      <c r="N8" s="43"/>
      <c r="O8" s="43"/>
      <c r="P8" s="43"/>
      <c r="Q8" s="43"/>
      <c r="R8" s="43"/>
    </row>
    <row r="9" ht="22.9" customHeight="1" spans="1:18">
      <c r="A9" s="49" t="s">
        <v>172</v>
      </c>
      <c r="B9" s="49" t="s">
        <v>173</v>
      </c>
      <c r="C9" s="49" t="s">
        <v>173</v>
      </c>
      <c r="D9" s="50">
        <f>D8</f>
        <v>405022</v>
      </c>
      <c r="E9" s="47" t="s">
        <v>175</v>
      </c>
      <c r="F9" s="55"/>
      <c r="G9" s="45"/>
      <c r="H9" s="45"/>
      <c r="I9" s="45"/>
      <c r="J9" s="45"/>
      <c r="K9" s="45"/>
      <c r="L9" s="45"/>
      <c r="M9" s="45"/>
      <c r="N9" s="45"/>
      <c r="O9" s="45"/>
      <c r="P9" s="45"/>
      <c r="Q9" s="45"/>
      <c r="R9" s="4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topLeftCell="G1" workbookViewId="0">
      <selection activeCell="H7" sqref="H7"/>
    </sheetView>
  </sheetViews>
  <sheetFormatPr defaultColWidth="10" defaultRowHeight="13.5"/>
  <cols>
    <col min="1" max="1" width="3.63333333333333" style="35" customWidth="1"/>
    <col min="2" max="2" width="4.63333333333333" style="35" customWidth="1"/>
    <col min="3" max="3" width="5.25" style="35" customWidth="1"/>
    <col min="4" max="4" width="7" style="35" customWidth="1"/>
    <col min="5" max="5" width="15.8833333333333" style="35" customWidth="1"/>
    <col min="6" max="6" width="9.63333333333333" style="35" customWidth="1"/>
    <col min="7" max="7" width="8.38333333333333" style="35" customWidth="1"/>
    <col min="8" max="17" width="7.13333333333333" style="35" customWidth="1"/>
    <col min="18" max="18" width="8.5" style="35" customWidth="1"/>
    <col min="19" max="20" width="7.13333333333333" style="35" customWidth="1"/>
    <col min="21" max="22" width="9.75" style="35" customWidth="1"/>
    <col min="23" max="16384" width="10" style="35"/>
  </cols>
  <sheetData>
    <row r="1" ht="16.35" customHeight="1" spans="1:20">
      <c r="A1" s="36"/>
      <c r="S1" s="37" t="s">
        <v>385</v>
      </c>
      <c r="T1" s="37"/>
    </row>
    <row r="2" ht="36.2" customHeight="1" spans="1:20">
      <c r="A2" s="38" t="s">
        <v>19</v>
      </c>
      <c r="B2" s="38"/>
      <c r="C2" s="38"/>
      <c r="D2" s="38"/>
      <c r="E2" s="38"/>
      <c r="F2" s="38"/>
      <c r="G2" s="38"/>
      <c r="H2" s="38"/>
      <c r="I2" s="38"/>
      <c r="J2" s="38"/>
      <c r="K2" s="38"/>
      <c r="L2" s="38"/>
      <c r="M2" s="38"/>
      <c r="N2" s="38"/>
      <c r="O2" s="38"/>
      <c r="P2" s="38"/>
      <c r="Q2" s="38"/>
      <c r="R2" s="38"/>
      <c r="S2" s="38"/>
      <c r="T2" s="38"/>
    </row>
    <row r="3" ht="24.2" customHeight="1" spans="1:20">
      <c r="A3" s="39" t="str">
        <f>"部门"&amp;":"&amp;封面!E4&amp;封面!E5</f>
        <v>部门:405022益阳市赫山区新市渡镇卫生院</v>
      </c>
      <c r="B3" s="39"/>
      <c r="C3" s="39"/>
      <c r="D3" s="39"/>
      <c r="E3" s="39"/>
      <c r="F3" s="39"/>
      <c r="G3" s="39"/>
      <c r="H3" s="39"/>
      <c r="I3" s="39"/>
      <c r="J3" s="39"/>
      <c r="K3" s="39"/>
      <c r="L3" s="39"/>
      <c r="M3" s="39"/>
      <c r="N3" s="39"/>
      <c r="O3" s="39"/>
      <c r="P3" s="39"/>
      <c r="Q3" s="39"/>
      <c r="R3" s="39"/>
      <c r="S3" s="40" t="s">
        <v>31</v>
      </c>
      <c r="T3" s="40"/>
    </row>
    <row r="4" ht="28.5" customHeight="1" spans="1:20">
      <c r="A4" s="41" t="s">
        <v>157</v>
      </c>
      <c r="B4" s="41"/>
      <c r="C4" s="41"/>
      <c r="D4" s="41" t="s">
        <v>198</v>
      </c>
      <c r="E4" s="41" t="s">
        <v>199</v>
      </c>
      <c r="F4" s="41" t="s">
        <v>306</v>
      </c>
      <c r="G4" s="41" t="s">
        <v>202</v>
      </c>
      <c r="H4" s="41"/>
      <c r="I4" s="41"/>
      <c r="J4" s="41"/>
      <c r="K4" s="41"/>
      <c r="L4" s="41"/>
      <c r="M4" s="41"/>
      <c r="N4" s="41"/>
      <c r="O4" s="41"/>
      <c r="P4" s="41"/>
      <c r="Q4" s="41"/>
      <c r="R4" s="41" t="s">
        <v>205</v>
      </c>
      <c r="S4" s="41"/>
      <c r="T4" s="41"/>
    </row>
    <row r="5" ht="36.2" customHeight="1" spans="1:20">
      <c r="A5" s="41" t="s">
        <v>165</v>
      </c>
      <c r="B5" s="41" t="s">
        <v>166</v>
      </c>
      <c r="C5" s="41" t="s">
        <v>167</v>
      </c>
      <c r="D5" s="41"/>
      <c r="E5" s="41"/>
      <c r="F5" s="41"/>
      <c r="G5" s="41" t="s">
        <v>136</v>
      </c>
      <c r="H5" s="41" t="s">
        <v>386</v>
      </c>
      <c r="I5" s="41" t="s">
        <v>359</v>
      </c>
      <c r="J5" s="41" t="s">
        <v>360</v>
      </c>
      <c r="K5" s="41" t="s">
        <v>387</v>
      </c>
      <c r="L5" s="41" t="s">
        <v>365</v>
      </c>
      <c r="M5" s="41" t="s">
        <v>361</v>
      </c>
      <c r="N5" s="41" t="s">
        <v>356</v>
      </c>
      <c r="O5" s="41" t="s">
        <v>318</v>
      </c>
      <c r="P5" s="41" t="s">
        <v>388</v>
      </c>
      <c r="Q5" s="41" t="s">
        <v>389</v>
      </c>
      <c r="R5" s="41" t="s">
        <v>136</v>
      </c>
      <c r="S5" s="41" t="s">
        <v>241</v>
      </c>
      <c r="T5" s="41" t="s">
        <v>376</v>
      </c>
    </row>
    <row r="6" ht="22.9" customHeight="1" spans="1:20">
      <c r="A6" s="42"/>
      <c r="B6" s="42"/>
      <c r="C6" s="42"/>
      <c r="D6" s="42"/>
      <c r="E6" s="42" t="s">
        <v>136</v>
      </c>
      <c r="F6" s="48">
        <f>'1收支总表'!F8</f>
        <v>11.1152</v>
      </c>
      <c r="G6" s="48">
        <f>F6</f>
        <v>11.1152</v>
      </c>
      <c r="H6" s="45">
        <f t="shared" ref="H6:I8" si="0">H7</f>
        <v>9.9152</v>
      </c>
      <c r="I6" s="45">
        <f t="shared" si="0"/>
        <v>1.2</v>
      </c>
      <c r="J6" s="48"/>
      <c r="K6" s="48"/>
      <c r="L6" s="48"/>
      <c r="M6" s="45">
        <f>M7</f>
        <v>0</v>
      </c>
      <c r="N6" s="48"/>
      <c r="O6" s="48">
        <f>O7</f>
        <v>0</v>
      </c>
      <c r="P6" s="48"/>
      <c r="Q6" s="48"/>
      <c r="R6" s="48"/>
      <c r="S6" s="48"/>
      <c r="T6" s="48"/>
    </row>
    <row r="7" ht="22.9" customHeight="1" spans="1:20">
      <c r="A7" s="42"/>
      <c r="B7" s="42"/>
      <c r="C7" s="42"/>
      <c r="D7" s="44" t="s">
        <v>154</v>
      </c>
      <c r="E7" s="44" t="s">
        <v>155</v>
      </c>
      <c r="F7" s="48">
        <f t="shared" ref="F7:G9" si="1">F6</f>
        <v>11.1152</v>
      </c>
      <c r="G7" s="48">
        <f t="shared" si="1"/>
        <v>11.1152</v>
      </c>
      <c r="H7" s="45">
        <f t="shared" si="0"/>
        <v>9.9152</v>
      </c>
      <c r="I7" s="45">
        <f t="shared" si="0"/>
        <v>1.2</v>
      </c>
      <c r="J7" s="48"/>
      <c r="K7" s="48"/>
      <c r="L7" s="48"/>
      <c r="M7" s="45">
        <f>M8</f>
        <v>0</v>
      </c>
      <c r="N7" s="48"/>
      <c r="O7" s="48">
        <f>O8</f>
        <v>0</v>
      </c>
      <c r="P7" s="48"/>
      <c r="Q7" s="48"/>
      <c r="R7" s="48"/>
      <c r="S7" s="48"/>
      <c r="T7" s="48"/>
    </row>
    <row r="8" ht="22.9" customHeight="1" spans="1:20">
      <c r="A8" s="42"/>
      <c r="B8" s="42"/>
      <c r="C8" s="42"/>
      <c r="D8" s="44">
        <f>封面!E4</f>
        <v>405022</v>
      </c>
      <c r="E8" s="44" t="str">
        <f>封面!E5</f>
        <v>益阳市赫山区新市渡镇卫生院</v>
      </c>
      <c r="F8" s="48">
        <f t="shared" si="1"/>
        <v>11.1152</v>
      </c>
      <c r="G8" s="48">
        <f t="shared" si="1"/>
        <v>11.1152</v>
      </c>
      <c r="H8" s="45">
        <f t="shared" si="0"/>
        <v>9.9152</v>
      </c>
      <c r="I8" s="45">
        <f t="shared" si="0"/>
        <v>1.2</v>
      </c>
      <c r="J8" s="48"/>
      <c r="K8" s="48"/>
      <c r="L8" s="48"/>
      <c r="M8" s="45">
        <f>M9</f>
        <v>0</v>
      </c>
      <c r="N8" s="48"/>
      <c r="O8" s="48">
        <f>O9</f>
        <v>0</v>
      </c>
      <c r="P8" s="48"/>
      <c r="Q8" s="48"/>
      <c r="R8" s="48"/>
      <c r="S8" s="48"/>
      <c r="T8" s="48"/>
    </row>
    <row r="9" ht="22.9" customHeight="1" spans="1:20">
      <c r="A9" s="49" t="s">
        <v>172</v>
      </c>
      <c r="B9" s="49" t="s">
        <v>173</v>
      </c>
      <c r="C9" s="49" t="s">
        <v>173</v>
      </c>
      <c r="D9" s="50">
        <f>D8</f>
        <v>405022</v>
      </c>
      <c r="E9" s="47" t="s">
        <v>175</v>
      </c>
      <c r="F9" s="48">
        <f t="shared" si="1"/>
        <v>11.1152</v>
      </c>
      <c r="G9" s="48">
        <f t="shared" si="1"/>
        <v>11.1152</v>
      </c>
      <c r="H9" s="45">
        <f>G9-I9-M9-O9</f>
        <v>9.9152</v>
      </c>
      <c r="I9" s="45">
        <f>VLOOKUP(封面!$E$5,[1]一般预算拨款!$A$7:$AB$32,24,0)</f>
        <v>1.2</v>
      </c>
      <c r="J9" s="45"/>
      <c r="K9" s="45"/>
      <c r="L9" s="45"/>
      <c r="M9" s="45">
        <f>VLOOKUP(封面!$E$5,[1]一般预算拨款!$A$7:$AB$32,26,0)</f>
        <v>0</v>
      </c>
      <c r="N9" s="45"/>
      <c r="O9" s="45">
        <f>VLOOKUP(封面!$E$5,[1]一般预算拨款!$A$7:$AB$32,18,0)</f>
        <v>0</v>
      </c>
      <c r="P9" s="45"/>
      <c r="Q9" s="45"/>
      <c r="R9" s="45"/>
      <c r="S9" s="45"/>
      <c r="T9" s="4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1"/>
  <sheetViews>
    <sheetView zoomScale="80" zoomScaleNormal="80" topLeftCell="G1" workbookViewId="0">
      <selection activeCell="U6" sqref="U6"/>
    </sheetView>
  </sheetViews>
  <sheetFormatPr defaultColWidth="10" defaultRowHeight="13.5"/>
  <cols>
    <col min="1" max="1" width="5.25" style="35" customWidth="1"/>
    <col min="2" max="2" width="5.63333333333333" style="35" customWidth="1"/>
    <col min="3" max="3" width="5.88333333333333" style="35" customWidth="1"/>
    <col min="4" max="4" width="10.1333333333333" style="35" customWidth="1"/>
    <col min="5" max="5" width="18.1333333333333" style="35" customWidth="1"/>
    <col min="6" max="6" width="10.75" style="35" customWidth="1"/>
    <col min="7" max="34" width="7.13333333333333" style="35" customWidth="1"/>
    <col min="35" max="36" width="9.75" style="35" customWidth="1"/>
    <col min="37" max="16384" width="10" style="35"/>
  </cols>
  <sheetData>
    <row r="1" ht="13.9" customHeight="1" spans="1:34">
      <c r="A1" s="36"/>
      <c r="F1" s="36"/>
      <c r="AG1" s="37" t="s">
        <v>390</v>
      </c>
      <c r="AH1" s="37"/>
    </row>
    <row r="2" ht="43.9" customHeight="1" spans="1:34">
      <c r="A2" s="38" t="s">
        <v>20</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ht="24.2" customHeight="1" spans="1:34">
      <c r="A3" s="39" t="str">
        <f>"部门"&amp;":"&amp;封面!E4&amp;封面!E5</f>
        <v>部门:405022益阳市赫山区新市渡镇卫生院</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40" t="s">
        <v>31</v>
      </c>
      <c r="AH3" s="40"/>
    </row>
    <row r="4" ht="24.95" customHeight="1" spans="1:37">
      <c r="A4" s="41" t="s">
        <v>157</v>
      </c>
      <c r="B4" s="41"/>
      <c r="C4" s="41"/>
      <c r="D4" s="41" t="s">
        <v>198</v>
      </c>
      <c r="E4" s="41" t="s">
        <v>199</v>
      </c>
      <c r="F4" s="41" t="s">
        <v>391</v>
      </c>
      <c r="G4" s="41" t="s">
        <v>346</v>
      </c>
      <c r="H4" s="41" t="s">
        <v>347</v>
      </c>
      <c r="I4" s="41" t="s">
        <v>348</v>
      </c>
      <c r="J4" s="41" t="s">
        <v>349</v>
      </c>
      <c r="K4" s="41" t="s">
        <v>350</v>
      </c>
      <c r="L4" s="41" t="s">
        <v>351</v>
      </c>
      <c r="M4" s="52" t="s">
        <v>392</v>
      </c>
      <c r="N4" s="41" t="s">
        <v>352</v>
      </c>
      <c r="O4" s="41" t="s">
        <v>353</v>
      </c>
      <c r="P4" s="41" t="s">
        <v>354</v>
      </c>
      <c r="Q4" s="41" t="s">
        <v>355</v>
      </c>
      <c r="R4" s="41" t="s">
        <v>356</v>
      </c>
      <c r="S4" s="41" t="s">
        <v>388</v>
      </c>
      <c r="T4" s="41" t="s">
        <v>358</v>
      </c>
      <c r="U4" s="41" t="s">
        <v>359</v>
      </c>
      <c r="V4" s="41" t="s">
        <v>360</v>
      </c>
      <c r="W4" s="41" t="s">
        <v>361</v>
      </c>
      <c r="X4" s="41" t="s">
        <v>362</v>
      </c>
      <c r="Y4" s="41" t="s">
        <v>363</v>
      </c>
      <c r="Z4" s="41" t="s">
        <v>364</v>
      </c>
      <c r="AA4" s="41" t="s">
        <v>290</v>
      </c>
      <c r="AB4" s="41" t="s">
        <v>365</v>
      </c>
      <c r="AC4" s="41" t="s">
        <v>316</v>
      </c>
      <c r="AD4" s="41" t="s">
        <v>317</v>
      </c>
      <c r="AE4" s="41" t="s">
        <v>318</v>
      </c>
      <c r="AF4" s="41" t="s">
        <v>319</v>
      </c>
      <c r="AG4" s="41" t="s">
        <v>366</v>
      </c>
      <c r="AH4" s="41" t="s">
        <v>389</v>
      </c>
      <c r="AI4" s="54"/>
      <c r="AJ4" s="54"/>
      <c r="AK4" s="54"/>
    </row>
    <row r="5" ht="21.6" customHeight="1" spans="1:37">
      <c r="A5" s="41" t="s">
        <v>165</v>
      </c>
      <c r="B5" s="41" t="s">
        <v>166</v>
      </c>
      <c r="C5" s="41" t="s">
        <v>167</v>
      </c>
      <c r="D5" s="41"/>
      <c r="E5" s="41"/>
      <c r="F5" s="41"/>
      <c r="G5" s="41"/>
      <c r="H5" s="41"/>
      <c r="I5" s="41"/>
      <c r="J5" s="41"/>
      <c r="K5" s="41"/>
      <c r="L5" s="41"/>
      <c r="M5" s="53"/>
      <c r="N5" s="41"/>
      <c r="O5" s="41"/>
      <c r="P5" s="41"/>
      <c r="Q5" s="41"/>
      <c r="R5" s="41"/>
      <c r="S5" s="41"/>
      <c r="T5" s="41"/>
      <c r="U5" s="41"/>
      <c r="V5" s="41"/>
      <c r="W5" s="41"/>
      <c r="X5" s="41"/>
      <c r="Y5" s="41"/>
      <c r="Z5" s="41"/>
      <c r="AA5" s="41"/>
      <c r="AB5" s="41"/>
      <c r="AC5" s="41"/>
      <c r="AD5" s="41"/>
      <c r="AE5" s="41"/>
      <c r="AF5" s="41"/>
      <c r="AG5" s="41"/>
      <c r="AH5" s="41"/>
      <c r="AI5" s="54"/>
      <c r="AJ5" s="54"/>
      <c r="AK5" s="54"/>
    </row>
    <row r="6" ht="22.9" customHeight="1" spans="1:37">
      <c r="A6" s="46"/>
      <c r="B6" s="12"/>
      <c r="C6" s="12"/>
      <c r="D6" s="47"/>
      <c r="E6" s="47" t="s">
        <v>136</v>
      </c>
      <c r="F6" s="48">
        <f>'1收支总表'!F8</f>
        <v>11.1152</v>
      </c>
      <c r="G6" s="45">
        <f t="shared" ref="G6:H8" si="0">G7</f>
        <v>1.2</v>
      </c>
      <c r="H6" s="45">
        <f t="shared" si="0"/>
        <v>1.6</v>
      </c>
      <c r="I6" s="45"/>
      <c r="J6" s="45"/>
      <c r="K6" s="45">
        <f t="shared" ref="K6:L8" si="1">K7</f>
        <v>1.6</v>
      </c>
      <c r="L6" s="45">
        <f t="shared" si="1"/>
        <v>1.2</v>
      </c>
      <c r="M6" s="45">
        <f>M7</f>
        <v>1</v>
      </c>
      <c r="N6" s="48"/>
      <c r="O6" s="48"/>
      <c r="P6" s="48"/>
      <c r="Q6" s="48"/>
      <c r="R6" s="48"/>
      <c r="S6" s="48"/>
      <c r="T6" s="48"/>
      <c r="U6" s="45">
        <f>U7</f>
        <v>1.2</v>
      </c>
      <c r="V6" s="45"/>
      <c r="W6" s="45">
        <f>W7</f>
        <v>0</v>
      </c>
      <c r="X6" s="45"/>
      <c r="Y6" s="45"/>
      <c r="Z6" s="45"/>
      <c r="AA6" s="45">
        <v>1</v>
      </c>
      <c r="AB6" s="45"/>
      <c r="AC6" s="45">
        <f t="shared" ref="AC6:AF8" si="2">AC7</f>
        <v>0.9157</v>
      </c>
      <c r="AD6" s="45">
        <f t="shared" si="2"/>
        <v>1.3995</v>
      </c>
      <c r="AE6" s="45">
        <f t="shared" si="2"/>
        <v>0</v>
      </c>
      <c r="AF6" s="45">
        <f t="shared" si="2"/>
        <v>0</v>
      </c>
      <c r="AG6" s="48"/>
      <c r="AH6" s="48"/>
      <c r="AI6" s="54"/>
      <c r="AJ6" s="54"/>
      <c r="AK6" s="54"/>
    </row>
    <row r="7" ht="22.9" customHeight="1" spans="1:37">
      <c r="A7" s="42"/>
      <c r="B7" s="42"/>
      <c r="C7" s="42"/>
      <c r="D7" s="44" t="s">
        <v>154</v>
      </c>
      <c r="E7" s="44" t="s">
        <v>155</v>
      </c>
      <c r="F7" s="48">
        <f>F6</f>
        <v>11.1152</v>
      </c>
      <c r="G7" s="45">
        <f t="shared" si="0"/>
        <v>1.2</v>
      </c>
      <c r="H7" s="45">
        <f t="shared" si="0"/>
        <v>1.6</v>
      </c>
      <c r="I7" s="45"/>
      <c r="J7" s="45"/>
      <c r="K7" s="45">
        <f t="shared" si="1"/>
        <v>1.6</v>
      </c>
      <c r="L7" s="45">
        <f t="shared" si="1"/>
        <v>1.2</v>
      </c>
      <c r="M7" s="45">
        <f>M8</f>
        <v>1</v>
      </c>
      <c r="N7" s="48"/>
      <c r="O7" s="48"/>
      <c r="P7" s="48"/>
      <c r="Q7" s="48"/>
      <c r="R7" s="48"/>
      <c r="S7" s="48"/>
      <c r="T7" s="48"/>
      <c r="U7" s="45">
        <f>U8</f>
        <v>1.2</v>
      </c>
      <c r="V7" s="45"/>
      <c r="W7" s="45">
        <f>W8</f>
        <v>0</v>
      </c>
      <c r="X7" s="45"/>
      <c r="Y7" s="45"/>
      <c r="Z7" s="45"/>
      <c r="AA7" s="45">
        <v>1</v>
      </c>
      <c r="AB7" s="45"/>
      <c r="AC7" s="45">
        <f t="shared" si="2"/>
        <v>0.9157</v>
      </c>
      <c r="AD7" s="45">
        <f t="shared" si="2"/>
        <v>1.3995</v>
      </c>
      <c r="AE7" s="45">
        <f t="shared" si="2"/>
        <v>0</v>
      </c>
      <c r="AF7" s="45">
        <f t="shared" si="2"/>
        <v>0</v>
      </c>
      <c r="AG7" s="48"/>
      <c r="AH7" s="48"/>
      <c r="AI7" s="54"/>
      <c r="AJ7" s="54"/>
      <c r="AK7" s="54"/>
    </row>
    <row r="8" ht="22.9" customHeight="1" spans="1:37">
      <c r="A8" s="42"/>
      <c r="B8" s="42"/>
      <c r="C8" s="42"/>
      <c r="D8" s="44">
        <f>封面!E4</f>
        <v>405022</v>
      </c>
      <c r="E8" s="44" t="str">
        <f>封面!E5</f>
        <v>益阳市赫山区新市渡镇卫生院</v>
      </c>
      <c r="F8" s="48">
        <f>F7</f>
        <v>11.1152</v>
      </c>
      <c r="G8" s="45">
        <f t="shared" si="0"/>
        <v>1.2</v>
      </c>
      <c r="H8" s="45">
        <f t="shared" si="0"/>
        <v>1.6</v>
      </c>
      <c r="I8" s="45"/>
      <c r="J8" s="45"/>
      <c r="K8" s="45">
        <f t="shared" si="1"/>
        <v>1.6</v>
      </c>
      <c r="L8" s="45">
        <f t="shared" si="1"/>
        <v>1.2</v>
      </c>
      <c r="M8" s="45">
        <f>M9</f>
        <v>1</v>
      </c>
      <c r="N8" s="48"/>
      <c r="O8" s="48"/>
      <c r="P8" s="48"/>
      <c r="Q8" s="48"/>
      <c r="R8" s="48"/>
      <c r="S8" s="48"/>
      <c r="T8" s="48"/>
      <c r="U8" s="45">
        <f>U9</f>
        <v>1.2</v>
      </c>
      <c r="V8" s="45"/>
      <c r="W8" s="45">
        <f>W9</f>
        <v>0</v>
      </c>
      <c r="X8" s="45"/>
      <c r="Y8" s="45"/>
      <c r="Z8" s="45"/>
      <c r="AA8" s="45">
        <v>1</v>
      </c>
      <c r="AB8" s="45"/>
      <c r="AC8" s="45">
        <f t="shared" si="2"/>
        <v>0.9157</v>
      </c>
      <c r="AD8" s="45">
        <f t="shared" si="2"/>
        <v>1.3995</v>
      </c>
      <c r="AE8" s="45">
        <f t="shared" si="2"/>
        <v>0</v>
      </c>
      <c r="AF8" s="45">
        <f t="shared" si="2"/>
        <v>0</v>
      </c>
      <c r="AG8" s="48"/>
      <c r="AH8" s="48"/>
      <c r="AI8" s="54"/>
      <c r="AJ8" s="54"/>
      <c r="AK8" s="54"/>
    </row>
    <row r="9" ht="22.9" customHeight="1" spans="1:34">
      <c r="A9" s="49" t="s">
        <v>172</v>
      </c>
      <c r="B9" s="49" t="s">
        <v>173</v>
      </c>
      <c r="C9" s="49" t="s">
        <v>173</v>
      </c>
      <c r="D9" s="50">
        <f>D8</f>
        <v>405022</v>
      </c>
      <c r="E9" s="47" t="s">
        <v>175</v>
      </c>
      <c r="F9" s="45">
        <f>F8</f>
        <v>11.1152</v>
      </c>
      <c r="G9" s="45">
        <f>VLOOKUP(封面!$E$5,[1]一般预算拨款!$A$7:$AB$32,19,0)</f>
        <v>1.2</v>
      </c>
      <c r="H9" s="45">
        <f>VLOOKUP(封面!$E$5,[1]一般预算拨款!$A$7:$AB$32,20,0)</f>
        <v>1.6</v>
      </c>
      <c r="I9" s="45"/>
      <c r="J9" s="45"/>
      <c r="K9" s="45">
        <f>VLOOKUP(封面!$E$5,[1]一般预算拨款!$A$7:$AB$32,21,0)</f>
        <v>1.6</v>
      </c>
      <c r="L9" s="45">
        <f>VLOOKUP(封面!$E$5,[1]一般预算拨款!$A$7:$AB$32,22,0)</f>
        <v>1.2</v>
      </c>
      <c r="M9" s="45">
        <f>VLOOKUP(封面!$E$5,[1]一般预算拨款!$A$7:$AB$32,23,0)</f>
        <v>1</v>
      </c>
      <c r="N9" s="45"/>
      <c r="O9" s="45"/>
      <c r="P9" s="45"/>
      <c r="Q9" s="45"/>
      <c r="R9" s="45"/>
      <c r="S9" s="45"/>
      <c r="T9" s="45"/>
      <c r="U9" s="45">
        <f>VLOOKUP(封面!$E$5,[1]一般预算拨款!$A$7:$AB$32,24,0)</f>
        <v>1.2</v>
      </c>
      <c r="V9" s="45"/>
      <c r="W9" s="45">
        <f>VLOOKUP(封面!$E$5,[1]一般预算拨款!$A$7:$AB$32,26,0)</f>
        <v>0</v>
      </c>
      <c r="X9" s="45"/>
      <c r="Y9" s="45"/>
      <c r="Z9" s="45"/>
      <c r="AA9" s="45">
        <v>1</v>
      </c>
      <c r="AB9" s="45"/>
      <c r="AC9" s="45">
        <f>VLOOKUP(封面!$E$5,[1]一般预算拨款!$A$7:$AB$32,14,0)</f>
        <v>0.9157</v>
      </c>
      <c r="AD9" s="45">
        <f>VLOOKUP(封面!$E$5,[1]一般预算拨款!$A$7:$AB$32,15,0)</f>
        <v>1.3995</v>
      </c>
      <c r="AE9" s="45">
        <f>VLOOKUP(封面!$E$5,[1]一般预算拨款!$A$7:$AB$32,18,0)</f>
        <v>0</v>
      </c>
      <c r="AF9" s="45">
        <f>VLOOKUP(封面!$E$5,[1]一般预算拨款!$A$7:$AB$32,16,0)</f>
        <v>0</v>
      </c>
      <c r="AG9" s="45"/>
      <c r="AH9" s="45"/>
    </row>
    <row r="11" spans="7:7">
      <c r="G11" s="51"/>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topLeftCell="D1" workbookViewId="0">
      <selection activeCell="D10" sqref="D10"/>
    </sheetView>
  </sheetViews>
  <sheetFormatPr defaultColWidth="10" defaultRowHeight="13.5" outlineLevelRow="7" outlineLevelCol="7"/>
  <cols>
    <col min="1" max="1" width="12.8833333333333" style="35" customWidth="1"/>
    <col min="2" max="2" width="29.75" style="35" customWidth="1"/>
    <col min="3" max="3" width="20.75" style="35" customWidth="1"/>
    <col min="4" max="4" width="12.3833333333333" style="35" customWidth="1"/>
    <col min="5" max="5" width="10.3833333333333" style="35" customWidth="1"/>
    <col min="6" max="6" width="14.1333333333333" style="35" customWidth="1"/>
    <col min="7" max="8" width="13.75" style="35" customWidth="1"/>
    <col min="9" max="9" width="9.75" style="35" customWidth="1"/>
    <col min="10" max="16384" width="10" style="35"/>
  </cols>
  <sheetData>
    <row r="1" ht="16.35" customHeight="1" spans="1:8">
      <c r="A1" s="36"/>
      <c r="G1" s="37" t="s">
        <v>393</v>
      </c>
      <c r="H1" s="37"/>
    </row>
    <row r="2" ht="33.6" customHeight="1" spans="1:8">
      <c r="A2" s="38" t="s">
        <v>21</v>
      </c>
      <c r="B2" s="38"/>
      <c r="C2" s="38"/>
      <c r="D2" s="38"/>
      <c r="E2" s="38"/>
      <c r="F2" s="38"/>
      <c r="G2" s="38"/>
      <c r="H2" s="38"/>
    </row>
    <row r="3" ht="24.2" customHeight="1" spans="1:8">
      <c r="A3" s="39" t="str">
        <f>"部门"&amp;":"&amp;封面!E4&amp;封面!E5</f>
        <v>部门:405022益阳市赫山区新市渡镇卫生院</v>
      </c>
      <c r="B3" s="39"/>
      <c r="C3" s="39"/>
      <c r="D3" s="39"/>
      <c r="E3" s="39"/>
      <c r="F3" s="39"/>
      <c r="G3" s="39"/>
      <c r="H3" s="40" t="s">
        <v>31</v>
      </c>
    </row>
    <row r="4" ht="23.25" customHeight="1" spans="1:8">
      <c r="A4" s="41" t="s">
        <v>394</v>
      </c>
      <c r="B4" s="41" t="s">
        <v>395</v>
      </c>
      <c r="C4" s="41" t="s">
        <v>396</v>
      </c>
      <c r="D4" s="41" t="s">
        <v>397</v>
      </c>
      <c r="E4" s="41" t="s">
        <v>398</v>
      </c>
      <c r="F4" s="41"/>
      <c r="G4" s="41"/>
      <c r="H4" s="41" t="s">
        <v>399</v>
      </c>
    </row>
    <row r="5" ht="25.9" customHeight="1" spans="1:8">
      <c r="A5" s="41"/>
      <c r="B5" s="41"/>
      <c r="C5" s="41"/>
      <c r="D5" s="41"/>
      <c r="E5" s="41" t="s">
        <v>138</v>
      </c>
      <c r="F5" s="41" t="s">
        <v>400</v>
      </c>
      <c r="G5" s="41" t="s">
        <v>401</v>
      </c>
      <c r="H5" s="41"/>
    </row>
    <row r="6" ht="22.9" customHeight="1" spans="1:8">
      <c r="A6" s="42"/>
      <c r="B6" s="42" t="s">
        <v>136</v>
      </c>
      <c r="C6" s="43">
        <f>D6+E6+H6</f>
        <v>0</v>
      </c>
      <c r="D6" s="43"/>
      <c r="E6" s="43">
        <f>F6+G6</f>
        <v>0</v>
      </c>
      <c r="F6" s="43"/>
      <c r="G6" s="43">
        <f>G7</f>
        <v>0</v>
      </c>
      <c r="H6" s="43">
        <f>H7</f>
        <v>0</v>
      </c>
    </row>
    <row r="7" ht="22.9" customHeight="1" spans="1:8">
      <c r="A7" s="44" t="s">
        <v>154</v>
      </c>
      <c r="B7" s="44" t="s">
        <v>155</v>
      </c>
      <c r="C7" s="43">
        <f t="shared" ref="C7:C8" si="0">D7+E7+H7</f>
        <v>0</v>
      </c>
      <c r="D7" s="43"/>
      <c r="E7" s="43">
        <f>F7+G7</f>
        <v>0</v>
      </c>
      <c r="F7" s="43"/>
      <c r="G7" s="43">
        <f>G8</f>
        <v>0</v>
      </c>
      <c r="H7" s="43">
        <f>H8</f>
        <v>0</v>
      </c>
    </row>
    <row r="8" ht="22.9" customHeight="1" spans="1:8">
      <c r="A8" s="44">
        <f>封面!E4</f>
        <v>405022</v>
      </c>
      <c r="B8" s="44" t="str">
        <f>封面!E5</f>
        <v>益阳市赫山区新市渡镇卫生院</v>
      </c>
      <c r="C8" s="43">
        <f t="shared" si="0"/>
        <v>0</v>
      </c>
      <c r="D8" s="45"/>
      <c r="E8" s="43">
        <f>F8+G8</f>
        <v>0</v>
      </c>
      <c r="F8" s="45"/>
      <c r="G8" s="45">
        <f>VLOOKUP(封面!$E$5,[1]一般预算拨款!$A$7:$AB$32,18,0)</f>
        <v>0</v>
      </c>
      <c r="H8" s="45">
        <f>VLOOKUP(封面!$E$5,[1]一般预算拨款!$A$7:$AB$32,26,0)</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5" sqref="G15"/>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25" customWidth="1"/>
    <col min="9" max="9" width="9.75" customWidth="1"/>
  </cols>
  <sheetData>
    <row r="1" ht="16.35" customHeight="1" spans="1:8">
      <c r="A1" s="3"/>
      <c r="G1" s="13" t="s">
        <v>402</v>
      </c>
      <c r="H1" s="13"/>
    </row>
    <row r="2" ht="38.85" customHeight="1" spans="1:8">
      <c r="A2" s="21" t="s">
        <v>22</v>
      </c>
      <c r="B2" s="21"/>
      <c r="C2" s="21"/>
      <c r="D2" s="21"/>
      <c r="E2" s="21"/>
      <c r="F2" s="21"/>
      <c r="G2" s="21"/>
      <c r="H2" s="21"/>
    </row>
    <row r="3" ht="24.2" customHeight="1" spans="1:8">
      <c r="A3" s="16" t="str">
        <f>"部门"&amp;":"&amp;封面!E4&amp;封面!E5</f>
        <v>部门:405022益阳市赫山区新市渡镇卫生院</v>
      </c>
      <c r="B3" s="16"/>
      <c r="C3" s="16"/>
      <c r="D3" s="16"/>
      <c r="E3" s="16"/>
      <c r="F3" s="16"/>
      <c r="G3" s="16"/>
      <c r="H3" s="14" t="s">
        <v>31</v>
      </c>
    </row>
    <row r="4" ht="23.25" customHeight="1" spans="1:8">
      <c r="A4" s="17" t="s">
        <v>158</v>
      </c>
      <c r="B4" s="17" t="s">
        <v>159</v>
      </c>
      <c r="C4" s="17" t="s">
        <v>136</v>
      </c>
      <c r="D4" s="17" t="s">
        <v>403</v>
      </c>
      <c r="E4" s="17"/>
      <c r="F4" s="17"/>
      <c r="G4" s="17"/>
      <c r="H4" s="17" t="s">
        <v>161</v>
      </c>
    </row>
    <row r="5" ht="19.9" customHeight="1" spans="1:8">
      <c r="A5" s="17"/>
      <c r="B5" s="17"/>
      <c r="C5" s="17"/>
      <c r="D5" s="17" t="s">
        <v>138</v>
      </c>
      <c r="E5" s="17" t="s">
        <v>239</v>
      </c>
      <c r="F5" s="17"/>
      <c r="G5" s="17" t="s">
        <v>240</v>
      </c>
      <c r="H5" s="17"/>
    </row>
    <row r="6" ht="27.6" customHeight="1" spans="1:8">
      <c r="A6" s="17"/>
      <c r="B6" s="17"/>
      <c r="C6" s="17"/>
      <c r="D6" s="17"/>
      <c r="E6" s="17" t="s">
        <v>217</v>
      </c>
      <c r="F6" s="17" t="s">
        <v>209</v>
      </c>
      <c r="G6" s="17"/>
      <c r="H6" s="17"/>
    </row>
    <row r="7" ht="22.9" customHeight="1" spans="1:8">
      <c r="A7" s="22"/>
      <c r="B7" s="23" t="s">
        <v>136</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1" workbookViewId="0">
      <selection activeCell="C12" sqref="C12"/>
    </sheetView>
  </sheetViews>
  <sheetFormatPr defaultColWidth="10" defaultRowHeight="13.5" outlineLevelCol="2"/>
  <cols>
    <col min="1" max="1" width="6.38333333333333" customWidth="1"/>
    <col min="2" max="2" width="9.88333333333333" customWidth="1"/>
    <col min="3" max="3" width="52.3833333333333" customWidth="1"/>
    <col min="4" max="4" width="9.75" customWidth="1"/>
  </cols>
  <sheetData>
    <row r="1" ht="32.85" customHeight="1" spans="1:3">
      <c r="A1" s="3"/>
      <c r="B1" s="15" t="s">
        <v>4</v>
      </c>
      <c r="C1" s="15"/>
    </row>
    <row r="2" ht="24.95" customHeight="1" spans="2:3">
      <c r="B2" s="15"/>
      <c r="C2" s="15"/>
    </row>
    <row r="3" ht="31.15" customHeight="1" spans="2:3">
      <c r="B3" s="103" t="s">
        <v>5</v>
      </c>
      <c r="C3" s="103"/>
    </row>
    <row r="4" ht="32.65" customHeight="1" spans="2:3">
      <c r="B4" s="104">
        <v>1</v>
      </c>
      <c r="C4" s="105" t="s">
        <v>6</v>
      </c>
    </row>
    <row r="5" ht="32.65" customHeight="1" spans="2:3">
      <c r="B5" s="104">
        <v>2</v>
      </c>
      <c r="C5" s="106" t="s">
        <v>7</v>
      </c>
    </row>
    <row r="6" ht="32.65" customHeight="1" spans="2:3">
      <c r="B6" s="104">
        <v>3</v>
      </c>
      <c r="C6" s="105" t="s">
        <v>8</v>
      </c>
    </row>
    <row r="7" ht="32.65" customHeight="1" spans="2:3">
      <c r="B7" s="104">
        <v>4</v>
      </c>
      <c r="C7" s="105" t="s">
        <v>9</v>
      </c>
    </row>
    <row r="8" ht="32.65" customHeight="1" spans="2:3">
      <c r="B8" s="104">
        <v>5</v>
      </c>
      <c r="C8" s="105" t="s">
        <v>10</v>
      </c>
    </row>
    <row r="9" ht="32.65" customHeight="1" spans="2:3">
      <c r="B9" s="104">
        <v>6</v>
      </c>
      <c r="C9" s="105" t="s">
        <v>11</v>
      </c>
    </row>
    <row r="10" ht="32.65" customHeight="1" spans="2:3">
      <c r="B10" s="104">
        <v>7</v>
      </c>
      <c r="C10" s="105" t="s">
        <v>12</v>
      </c>
    </row>
    <row r="11" ht="32.65" customHeight="1" spans="2:3">
      <c r="B11" s="104">
        <v>8</v>
      </c>
      <c r="C11" s="105" t="s">
        <v>13</v>
      </c>
    </row>
    <row r="12" ht="32.65" customHeight="1" spans="2:3">
      <c r="B12" s="104">
        <v>9</v>
      </c>
      <c r="C12" s="105" t="s">
        <v>14</v>
      </c>
    </row>
    <row r="13" ht="32.65" customHeight="1" spans="2:3">
      <c r="B13" s="104">
        <v>10</v>
      </c>
      <c r="C13" s="105" t="s">
        <v>15</v>
      </c>
    </row>
    <row r="14" ht="32.65" customHeight="1" spans="2:3">
      <c r="B14" s="104">
        <v>11</v>
      </c>
      <c r="C14" s="105" t="s">
        <v>16</v>
      </c>
    </row>
    <row r="15" ht="32.65" customHeight="1" spans="2:3">
      <c r="B15" s="104">
        <v>12</v>
      </c>
      <c r="C15" s="105" t="s">
        <v>17</v>
      </c>
    </row>
    <row r="16" ht="32.65" customHeight="1" spans="2:3">
      <c r="B16" s="104">
        <v>13</v>
      </c>
      <c r="C16" s="105" t="s">
        <v>18</v>
      </c>
    </row>
    <row r="17" ht="32.65" customHeight="1" spans="2:3">
      <c r="B17" s="104">
        <v>14</v>
      </c>
      <c r="C17" s="105" t="s">
        <v>19</v>
      </c>
    </row>
    <row r="18" ht="32.65" customHeight="1" spans="2:3">
      <c r="B18" s="104">
        <v>15</v>
      </c>
      <c r="C18" s="105" t="s">
        <v>20</v>
      </c>
    </row>
    <row r="19" ht="32.65" customHeight="1" spans="2:3">
      <c r="B19" s="104">
        <v>16</v>
      </c>
      <c r="C19" s="105" t="s">
        <v>21</v>
      </c>
    </row>
    <row r="20" ht="32.65" customHeight="1" spans="2:3">
      <c r="B20" s="104">
        <v>17</v>
      </c>
      <c r="C20" s="105" t="s">
        <v>22</v>
      </c>
    </row>
    <row r="21" ht="32.65" customHeight="1" spans="2:3">
      <c r="B21" s="104">
        <v>18</v>
      </c>
      <c r="C21" s="105" t="s">
        <v>23</v>
      </c>
    </row>
    <row r="22" ht="32.65" customHeight="1" spans="2:3">
      <c r="B22" s="104">
        <v>19</v>
      </c>
      <c r="C22" s="105" t="s">
        <v>24</v>
      </c>
    </row>
    <row r="23" ht="32.65" customHeight="1" spans="2:3">
      <c r="B23" s="104">
        <v>20</v>
      </c>
      <c r="C23" s="105" t="s">
        <v>25</v>
      </c>
    </row>
    <row r="24" ht="32.65" customHeight="1" spans="2:3">
      <c r="B24" s="104">
        <v>21</v>
      </c>
      <c r="C24" s="105" t="s">
        <v>26</v>
      </c>
    </row>
    <row r="25" ht="32.65" customHeight="1" spans="2:3">
      <c r="B25" s="104">
        <v>22</v>
      </c>
      <c r="C25" s="105" t="s">
        <v>27</v>
      </c>
    </row>
    <row r="26" ht="32.65" customHeight="1" spans="2:3">
      <c r="B26" s="104">
        <v>23</v>
      </c>
      <c r="C26" s="105" t="s">
        <v>28</v>
      </c>
    </row>
    <row r="27" ht="32.65" customHeight="1" spans="2:3">
      <c r="B27" s="104">
        <v>24</v>
      </c>
      <c r="C27" s="10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6.35" customHeight="1" spans="1:20">
      <c r="A1" s="3"/>
      <c r="S1" s="13" t="s">
        <v>404</v>
      </c>
      <c r="T1" s="13"/>
    </row>
    <row r="2" ht="47.45" customHeight="1" spans="1:17">
      <c r="A2" s="21" t="s">
        <v>23</v>
      </c>
      <c r="B2" s="21"/>
      <c r="C2" s="21"/>
      <c r="D2" s="21"/>
      <c r="E2" s="21"/>
      <c r="F2" s="21"/>
      <c r="G2" s="21"/>
      <c r="H2" s="21"/>
      <c r="I2" s="21"/>
      <c r="J2" s="21"/>
      <c r="K2" s="21"/>
      <c r="L2" s="21"/>
      <c r="M2" s="21"/>
      <c r="N2" s="21"/>
      <c r="O2" s="21"/>
      <c r="P2" s="21"/>
      <c r="Q2" s="21"/>
    </row>
    <row r="3" ht="24.2" customHeight="1" spans="1:20">
      <c r="A3" s="16" t="str">
        <f>"部门"&amp;":"&amp;封面!E4&amp;封面!E5</f>
        <v>部门:405022益阳市赫山区新市渡镇卫生院</v>
      </c>
      <c r="B3" s="16"/>
      <c r="C3" s="16"/>
      <c r="D3" s="16"/>
      <c r="E3" s="16"/>
      <c r="F3" s="16"/>
      <c r="G3" s="16"/>
      <c r="H3" s="16"/>
      <c r="I3" s="16"/>
      <c r="J3" s="16"/>
      <c r="K3" s="16"/>
      <c r="L3" s="16"/>
      <c r="M3" s="16"/>
      <c r="N3" s="16"/>
      <c r="O3" s="16"/>
      <c r="P3" s="16"/>
      <c r="Q3" s="16"/>
      <c r="R3" s="16"/>
      <c r="S3" s="14" t="s">
        <v>31</v>
      </c>
      <c r="T3" s="14"/>
    </row>
    <row r="4" ht="27.6" customHeight="1" spans="1:20">
      <c r="A4" s="17" t="s">
        <v>157</v>
      </c>
      <c r="B4" s="17"/>
      <c r="C4" s="17"/>
      <c r="D4" s="17" t="s">
        <v>198</v>
      </c>
      <c r="E4" s="17" t="s">
        <v>199</v>
      </c>
      <c r="F4" s="17" t="s">
        <v>200</v>
      </c>
      <c r="G4" s="17" t="s">
        <v>201</v>
      </c>
      <c r="H4" s="17" t="s">
        <v>202</v>
      </c>
      <c r="I4" s="17" t="s">
        <v>203</v>
      </c>
      <c r="J4" s="17" t="s">
        <v>204</v>
      </c>
      <c r="K4" s="17" t="s">
        <v>205</v>
      </c>
      <c r="L4" s="17" t="s">
        <v>206</v>
      </c>
      <c r="M4" s="17" t="s">
        <v>207</v>
      </c>
      <c r="N4" s="17" t="s">
        <v>208</v>
      </c>
      <c r="O4" s="17" t="s">
        <v>209</v>
      </c>
      <c r="P4" s="17" t="s">
        <v>210</v>
      </c>
      <c r="Q4" s="17" t="s">
        <v>211</v>
      </c>
      <c r="R4" s="17" t="s">
        <v>212</v>
      </c>
      <c r="S4" s="17" t="s">
        <v>213</v>
      </c>
      <c r="T4" s="17" t="s">
        <v>214</v>
      </c>
    </row>
    <row r="5" ht="19.9" customHeight="1" spans="1:20">
      <c r="A5" s="17" t="s">
        <v>165</v>
      </c>
      <c r="B5" s="17" t="s">
        <v>166</v>
      </c>
      <c r="C5" s="17" t="s">
        <v>167</v>
      </c>
      <c r="D5" s="17"/>
      <c r="E5" s="17"/>
      <c r="F5" s="17"/>
      <c r="G5" s="17"/>
      <c r="H5" s="17"/>
      <c r="I5" s="17"/>
      <c r="J5" s="17"/>
      <c r="K5" s="17"/>
      <c r="L5" s="17"/>
      <c r="M5" s="17"/>
      <c r="N5" s="17"/>
      <c r="O5" s="17"/>
      <c r="P5" s="17"/>
      <c r="Q5" s="17"/>
      <c r="R5" s="17"/>
      <c r="S5" s="17"/>
      <c r="T5" s="17"/>
    </row>
    <row r="6" ht="22.9" customHeight="1" spans="1:20">
      <c r="A6" s="22"/>
      <c r="B6" s="22"/>
      <c r="C6" s="22"/>
      <c r="D6" s="22"/>
      <c r="E6" s="22" t="s">
        <v>136</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4"/>
      <c r="G9" s="34"/>
      <c r="H9" s="34"/>
      <c r="I9" s="34"/>
      <c r="J9" s="34"/>
      <c r="K9" s="34"/>
      <c r="L9" s="34"/>
      <c r="M9" s="34"/>
      <c r="N9" s="34"/>
      <c r="O9" s="34"/>
      <c r="P9" s="34"/>
      <c r="Q9" s="34"/>
      <c r="R9" s="34"/>
      <c r="S9" s="34"/>
      <c r="T9" s="3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20">
      <c r="A1" s="3"/>
      <c r="S1" s="13" t="s">
        <v>405</v>
      </c>
      <c r="T1" s="13"/>
    </row>
    <row r="2" ht="47.45"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16" t="str">
        <f>"部门"&amp;":"&amp;封面!E4&amp;封面!E5</f>
        <v>部门:405022益阳市赫山区新市渡镇卫生院</v>
      </c>
      <c r="B3" s="16"/>
      <c r="C3" s="16"/>
      <c r="D3" s="16"/>
      <c r="E3" s="16"/>
      <c r="F3" s="16"/>
      <c r="G3" s="16"/>
      <c r="H3" s="16"/>
      <c r="I3" s="16"/>
      <c r="J3" s="16"/>
      <c r="K3" s="16"/>
      <c r="L3" s="16"/>
      <c r="M3" s="16"/>
      <c r="N3" s="16"/>
      <c r="O3" s="16"/>
      <c r="P3" s="16"/>
      <c r="Q3" s="16"/>
      <c r="R3" s="16"/>
      <c r="S3" s="14" t="s">
        <v>31</v>
      </c>
      <c r="T3" s="14"/>
    </row>
    <row r="4" ht="29.25" customHeight="1" spans="1:20">
      <c r="A4" s="17" t="s">
        <v>157</v>
      </c>
      <c r="B4" s="17"/>
      <c r="C4" s="17"/>
      <c r="D4" s="17" t="s">
        <v>198</v>
      </c>
      <c r="E4" s="17" t="s">
        <v>199</v>
      </c>
      <c r="F4" s="17" t="s">
        <v>216</v>
      </c>
      <c r="G4" s="17" t="s">
        <v>160</v>
      </c>
      <c r="H4" s="17"/>
      <c r="I4" s="17"/>
      <c r="J4" s="17"/>
      <c r="K4" s="17" t="s">
        <v>161</v>
      </c>
      <c r="L4" s="17"/>
      <c r="M4" s="17"/>
      <c r="N4" s="17"/>
      <c r="O4" s="17"/>
      <c r="P4" s="17"/>
      <c r="Q4" s="17"/>
      <c r="R4" s="17"/>
      <c r="S4" s="17"/>
      <c r="T4" s="17"/>
    </row>
    <row r="5" ht="50.1" customHeight="1" spans="1:20">
      <c r="A5" s="17" t="s">
        <v>165</v>
      </c>
      <c r="B5" s="17" t="s">
        <v>166</v>
      </c>
      <c r="C5" s="17" t="s">
        <v>167</v>
      </c>
      <c r="D5" s="17"/>
      <c r="E5" s="17"/>
      <c r="F5" s="17"/>
      <c r="G5" s="17" t="s">
        <v>136</v>
      </c>
      <c r="H5" s="17" t="s">
        <v>217</v>
      </c>
      <c r="I5" s="17" t="s">
        <v>218</v>
      </c>
      <c r="J5" s="17" t="s">
        <v>209</v>
      </c>
      <c r="K5" s="17" t="s">
        <v>136</v>
      </c>
      <c r="L5" s="17" t="s">
        <v>220</v>
      </c>
      <c r="M5" s="17" t="s">
        <v>221</v>
      </c>
      <c r="N5" s="17" t="s">
        <v>211</v>
      </c>
      <c r="O5" s="17" t="s">
        <v>222</v>
      </c>
      <c r="P5" s="17" t="s">
        <v>223</v>
      </c>
      <c r="Q5" s="17" t="s">
        <v>224</v>
      </c>
      <c r="R5" s="17" t="s">
        <v>207</v>
      </c>
      <c r="S5" s="17" t="s">
        <v>210</v>
      </c>
      <c r="T5" s="17" t="s">
        <v>214</v>
      </c>
    </row>
    <row r="6" ht="22.9" customHeight="1" spans="1:20">
      <c r="A6" s="22"/>
      <c r="B6" s="22"/>
      <c r="C6" s="22"/>
      <c r="D6" s="22"/>
      <c r="E6" s="22" t="s">
        <v>136</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0"/>
      <c r="G9" s="27"/>
      <c r="H9" s="27"/>
      <c r="I9" s="27"/>
      <c r="J9" s="27"/>
      <c r="K9" s="27"/>
      <c r="L9" s="27"/>
      <c r="M9" s="27"/>
      <c r="N9" s="27"/>
      <c r="O9" s="27"/>
      <c r="P9" s="27"/>
      <c r="Q9" s="27"/>
      <c r="R9" s="27"/>
      <c r="S9" s="27"/>
      <c r="T9" s="2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8">
      <c r="A1" s="3"/>
      <c r="H1" s="13" t="s">
        <v>406</v>
      </c>
    </row>
    <row r="2" ht="38.85" customHeight="1" spans="1:8">
      <c r="A2" s="21" t="s">
        <v>407</v>
      </c>
      <c r="B2" s="21"/>
      <c r="C2" s="21"/>
      <c r="D2" s="21"/>
      <c r="E2" s="21"/>
      <c r="F2" s="21"/>
      <c r="G2" s="21"/>
      <c r="H2" s="21"/>
    </row>
    <row r="3" ht="24.2" customHeight="1" spans="1:8">
      <c r="A3" s="16" t="str">
        <f>"部门"&amp;":"&amp;封面!E4&amp;封面!E5</f>
        <v>部门:405022益阳市赫山区新市渡镇卫生院</v>
      </c>
      <c r="B3" s="16"/>
      <c r="C3" s="16"/>
      <c r="D3" s="16"/>
      <c r="E3" s="16"/>
      <c r="F3" s="16"/>
      <c r="G3" s="16"/>
      <c r="H3" s="14" t="s">
        <v>31</v>
      </c>
    </row>
    <row r="4" ht="19.9" customHeight="1" spans="1:8">
      <c r="A4" s="17" t="s">
        <v>158</v>
      </c>
      <c r="B4" s="17" t="s">
        <v>159</v>
      </c>
      <c r="C4" s="17" t="s">
        <v>136</v>
      </c>
      <c r="D4" s="17" t="s">
        <v>408</v>
      </c>
      <c r="E4" s="17"/>
      <c r="F4" s="17"/>
      <c r="G4" s="17"/>
      <c r="H4" s="17" t="s">
        <v>161</v>
      </c>
    </row>
    <row r="5" ht="23.25" customHeight="1" spans="1:8">
      <c r="A5" s="17"/>
      <c r="B5" s="17"/>
      <c r="C5" s="17"/>
      <c r="D5" s="17" t="s">
        <v>138</v>
      </c>
      <c r="E5" s="17" t="s">
        <v>239</v>
      </c>
      <c r="F5" s="17"/>
      <c r="G5" s="17" t="s">
        <v>240</v>
      </c>
      <c r="H5" s="17"/>
    </row>
    <row r="6" ht="23.25" customHeight="1" spans="1:8">
      <c r="A6" s="17"/>
      <c r="B6" s="17"/>
      <c r="C6" s="17"/>
      <c r="D6" s="17"/>
      <c r="E6" s="17" t="s">
        <v>217</v>
      </c>
      <c r="F6" s="17" t="s">
        <v>209</v>
      </c>
      <c r="G6" s="17"/>
      <c r="H6" s="17"/>
    </row>
    <row r="7" ht="22.9" customHeight="1" spans="1:8">
      <c r="A7" s="22"/>
      <c r="B7" s="23" t="s">
        <v>136</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8">
      <c r="A1" s="3"/>
      <c r="H1" s="13" t="s">
        <v>409</v>
      </c>
    </row>
    <row r="2" ht="38.85" customHeight="1" spans="1:8">
      <c r="A2" s="21" t="s">
        <v>26</v>
      </c>
      <c r="B2" s="21"/>
      <c r="C2" s="21"/>
      <c r="D2" s="21"/>
      <c r="E2" s="21"/>
      <c r="F2" s="21"/>
      <c r="G2" s="21"/>
      <c r="H2" s="21"/>
    </row>
    <row r="3" ht="24.2" customHeight="1" spans="1:8">
      <c r="A3" s="16" t="str">
        <f>"部门"&amp;":"&amp;封面!E4&amp;封面!E5</f>
        <v>部门:405022益阳市赫山区新市渡镇卫生院</v>
      </c>
      <c r="B3" s="16"/>
      <c r="C3" s="16"/>
      <c r="D3" s="16"/>
      <c r="E3" s="16"/>
      <c r="F3" s="16"/>
      <c r="G3" s="16"/>
      <c r="H3" s="14" t="s">
        <v>31</v>
      </c>
    </row>
    <row r="4" ht="20.65" customHeight="1" spans="1:8">
      <c r="A4" s="17" t="s">
        <v>158</v>
      </c>
      <c r="B4" s="17" t="s">
        <v>159</v>
      </c>
      <c r="C4" s="17" t="s">
        <v>136</v>
      </c>
      <c r="D4" s="17" t="s">
        <v>410</v>
      </c>
      <c r="E4" s="17"/>
      <c r="F4" s="17"/>
      <c r="G4" s="17"/>
      <c r="H4" s="17" t="s">
        <v>161</v>
      </c>
    </row>
    <row r="5" ht="18.95" customHeight="1" spans="1:8">
      <c r="A5" s="17"/>
      <c r="B5" s="17"/>
      <c r="C5" s="17"/>
      <c r="D5" s="17" t="s">
        <v>138</v>
      </c>
      <c r="E5" s="17" t="s">
        <v>239</v>
      </c>
      <c r="F5" s="17"/>
      <c r="G5" s="17" t="s">
        <v>240</v>
      </c>
      <c r="H5" s="17"/>
    </row>
    <row r="6" ht="24.2" customHeight="1" spans="1:8">
      <c r="A6" s="17"/>
      <c r="B6" s="17"/>
      <c r="C6" s="17"/>
      <c r="D6" s="17"/>
      <c r="E6" s="17" t="s">
        <v>217</v>
      </c>
      <c r="F6" s="17" t="s">
        <v>209</v>
      </c>
      <c r="G6" s="17"/>
      <c r="H6" s="17"/>
    </row>
    <row r="7" ht="22.9" customHeight="1" spans="1:8">
      <c r="A7" s="22"/>
      <c r="B7" s="23" t="s">
        <v>136</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zoomScale="143" zoomScaleNormal="143" topLeftCell="A2" workbookViewId="0">
      <selection activeCell="C11" sqref="C11"/>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3" t="s">
        <v>411</v>
      </c>
      <c r="N1" s="13"/>
    </row>
    <row r="2" ht="45.75" customHeight="1" spans="1:14">
      <c r="A2" s="21" t="s">
        <v>27</v>
      </c>
      <c r="B2" s="21"/>
      <c r="C2" s="21"/>
      <c r="D2" s="21"/>
      <c r="E2" s="21"/>
      <c r="F2" s="21"/>
      <c r="G2" s="21"/>
      <c r="H2" s="21"/>
      <c r="I2" s="21"/>
      <c r="J2" s="21"/>
      <c r="K2" s="21"/>
      <c r="L2" s="21"/>
      <c r="M2" s="21"/>
      <c r="N2" s="21"/>
    </row>
    <row r="3" ht="18.2" customHeight="1" spans="1:14">
      <c r="A3" s="16" t="str">
        <f>"部门"&amp;":"&amp;封面!E4&amp;封面!E5</f>
        <v>部门:405022益阳市赫山区新市渡镇卫生院</v>
      </c>
      <c r="B3" s="16"/>
      <c r="C3" s="16"/>
      <c r="D3" s="16"/>
      <c r="E3" s="16"/>
      <c r="F3" s="16"/>
      <c r="G3" s="16"/>
      <c r="H3" s="16"/>
      <c r="I3" s="16"/>
      <c r="J3" s="16"/>
      <c r="K3" s="16"/>
      <c r="L3" s="16"/>
      <c r="M3" s="14" t="s">
        <v>31</v>
      </c>
      <c r="N3" s="14"/>
    </row>
    <row r="4" ht="26.1" customHeight="1" spans="1:14">
      <c r="A4" s="17" t="s">
        <v>198</v>
      </c>
      <c r="B4" s="17" t="s">
        <v>412</v>
      </c>
      <c r="C4" s="17" t="s">
        <v>413</v>
      </c>
      <c r="D4" s="17"/>
      <c r="E4" s="17"/>
      <c r="F4" s="17"/>
      <c r="G4" s="17"/>
      <c r="H4" s="17"/>
      <c r="I4" s="17"/>
      <c r="J4" s="17"/>
      <c r="K4" s="17"/>
      <c r="L4" s="17"/>
      <c r="M4" s="17" t="s">
        <v>414</v>
      </c>
      <c r="N4" s="17"/>
    </row>
    <row r="5" ht="31.9" customHeight="1" spans="1:14">
      <c r="A5" s="17"/>
      <c r="B5" s="17"/>
      <c r="C5" s="17" t="s">
        <v>415</v>
      </c>
      <c r="D5" s="17" t="s">
        <v>139</v>
      </c>
      <c r="E5" s="17"/>
      <c r="F5" s="17"/>
      <c r="G5" s="17"/>
      <c r="H5" s="17"/>
      <c r="I5" s="17"/>
      <c r="J5" s="17" t="s">
        <v>416</v>
      </c>
      <c r="K5" s="17" t="s">
        <v>141</v>
      </c>
      <c r="L5" s="17" t="s">
        <v>142</v>
      </c>
      <c r="M5" s="17" t="s">
        <v>417</v>
      </c>
      <c r="N5" s="17" t="s">
        <v>418</v>
      </c>
    </row>
    <row r="6" ht="44.85" customHeight="1" spans="1:14">
      <c r="A6" s="17"/>
      <c r="B6" s="17"/>
      <c r="C6" s="17"/>
      <c r="D6" s="17" t="s">
        <v>419</v>
      </c>
      <c r="E6" s="17" t="s">
        <v>420</v>
      </c>
      <c r="F6" s="17" t="s">
        <v>421</v>
      </c>
      <c r="G6" s="17" t="s">
        <v>422</v>
      </c>
      <c r="H6" s="17" t="s">
        <v>423</v>
      </c>
      <c r="I6" s="17" t="s">
        <v>424</v>
      </c>
      <c r="J6" s="17"/>
      <c r="K6" s="17"/>
      <c r="L6" s="17"/>
      <c r="M6" s="17"/>
      <c r="N6" s="17"/>
    </row>
    <row r="7" customFormat="1" ht="22.9" customHeight="1" spans="1:14">
      <c r="A7" s="22"/>
      <c r="B7" s="23" t="s">
        <v>136</v>
      </c>
      <c r="C7" s="24">
        <v>13</v>
      </c>
      <c r="D7" s="24">
        <v>13</v>
      </c>
      <c r="E7" s="24"/>
      <c r="F7" s="24"/>
      <c r="G7" s="24"/>
      <c r="H7" s="24"/>
      <c r="I7" s="24"/>
      <c r="J7" s="24"/>
      <c r="K7" s="24"/>
      <c r="L7" s="24"/>
      <c r="M7" s="24">
        <v>13</v>
      </c>
      <c r="N7" s="22"/>
    </row>
    <row r="8" customFormat="1" ht="22.9" customHeight="1" spans="1:14">
      <c r="A8" s="25">
        <v>405022</v>
      </c>
      <c r="B8" s="25" t="s">
        <v>425</v>
      </c>
      <c r="C8" s="24">
        <v>10</v>
      </c>
      <c r="D8" s="24">
        <v>10</v>
      </c>
      <c r="E8" s="24"/>
      <c r="F8" s="24"/>
      <c r="G8" s="24"/>
      <c r="H8" s="24"/>
      <c r="I8" s="24"/>
      <c r="J8" s="24"/>
      <c r="K8" s="24"/>
      <c r="L8" s="24"/>
      <c r="M8" s="24">
        <v>10</v>
      </c>
      <c r="N8" s="22"/>
    </row>
    <row r="9" customFormat="1" ht="22.9" customHeight="1" spans="1:14">
      <c r="A9" s="25">
        <v>405022</v>
      </c>
      <c r="B9" s="26" t="s">
        <v>426</v>
      </c>
      <c r="C9" s="27">
        <v>3</v>
      </c>
      <c r="D9" s="27">
        <v>3</v>
      </c>
      <c r="E9" s="27"/>
      <c r="F9" s="27"/>
      <c r="G9" s="27"/>
      <c r="H9" s="27"/>
      <c r="I9" s="27"/>
      <c r="J9" s="27"/>
      <c r="K9" s="27"/>
      <c r="L9" s="27"/>
      <c r="M9" s="27">
        <v>3</v>
      </c>
      <c r="N9" s="2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6" activePane="bottomLeft" state="frozen"/>
      <selection/>
      <selection pane="bottomLeft" activeCell="A6" sqref="$A6:$XFD25"/>
    </sheetView>
  </sheetViews>
  <sheetFormatPr defaultColWidth="10" defaultRowHeight="13.5"/>
  <cols>
    <col min="1" max="1" width="6.75" customWidth="1"/>
    <col min="2" max="2" width="15.1333333333333" customWidth="1"/>
    <col min="3" max="3" width="8.5" customWidth="1"/>
    <col min="4" max="4" width="12.25" customWidth="1"/>
    <col min="5" max="5" width="8.38333333333333" customWidth="1"/>
    <col min="6" max="6" width="8.5" customWidth="1"/>
    <col min="7" max="7" width="12" customWidth="1"/>
    <col min="8" max="8" width="21.6333333333333" customWidth="1"/>
    <col min="9" max="9" width="11.1333333333333"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3" t="s">
        <v>427</v>
      </c>
    </row>
    <row r="2" ht="37.9" customHeight="1" spans="1:13">
      <c r="A2" s="3"/>
      <c r="B2" s="3"/>
      <c r="C2" s="15" t="s">
        <v>428</v>
      </c>
      <c r="D2" s="15"/>
      <c r="E2" s="15"/>
      <c r="F2" s="15"/>
      <c r="G2" s="15"/>
      <c r="H2" s="15"/>
      <c r="I2" s="15"/>
      <c r="J2" s="15"/>
      <c r="K2" s="15"/>
      <c r="L2" s="15"/>
      <c r="M2" s="15"/>
    </row>
    <row r="3" ht="21.6" customHeight="1" spans="1:13">
      <c r="A3" s="16" t="str">
        <f>"部门"&amp;":"&amp;封面!E4&amp;封面!E5</f>
        <v>部门:405022益阳市赫山区新市渡镇卫生院</v>
      </c>
      <c r="B3" s="16"/>
      <c r="C3" s="16"/>
      <c r="D3" s="16"/>
      <c r="E3" s="16"/>
      <c r="F3" s="16"/>
      <c r="G3" s="16"/>
      <c r="H3" s="16"/>
      <c r="I3" s="16"/>
      <c r="J3" s="16"/>
      <c r="K3" s="16"/>
      <c r="L3" s="14" t="s">
        <v>31</v>
      </c>
      <c r="M3" s="14"/>
    </row>
    <row r="4" ht="33.6" customHeight="1" spans="1:13">
      <c r="A4" s="17" t="s">
        <v>198</v>
      </c>
      <c r="B4" s="17" t="s">
        <v>429</v>
      </c>
      <c r="C4" s="17" t="s">
        <v>430</v>
      </c>
      <c r="D4" s="17" t="s">
        <v>431</v>
      </c>
      <c r="E4" s="17" t="s">
        <v>432</v>
      </c>
      <c r="F4" s="17"/>
      <c r="G4" s="17"/>
      <c r="H4" s="17"/>
      <c r="I4" s="17"/>
      <c r="J4" s="17"/>
      <c r="K4" s="17"/>
      <c r="L4" s="17"/>
      <c r="M4" s="17"/>
    </row>
    <row r="5" ht="36.2" customHeight="1" spans="1:13">
      <c r="A5" s="17"/>
      <c r="B5" s="17"/>
      <c r="C5" s="17"/>
      <c r="D5" s="17"/>
      <c r="E5" s="17" t="s">
        <v>433</v>
      </c>
      <c r="F5" s="17" t="s">
        <v>434</v>
      </c>
      <c r="G5" s="17" t="s">
        <v>435</v>
      </c>
      <c r="H5" s="17" t="s">
        <v>436</v>
      </c>
      <c r="I5" s="17" t="s">
        <v>437</v>
      </c>
      <c r="J5" s="17" t="s">
        <v>438</v>
      </c>
      <c r="K5" s="17" t="s">
        <v>439</v>
      </c>
      <c r="L5" s="17" t="s">
        <v>440</v>
      </c>
      <c r="M5" s="17" t="s">
        <v>441</v>
      </c>
    </row>
    <row r="6" customFormat="1" ht="45" customHeight="1" spans="1:13">
      <c r="A6" s="18">
        <v>405022</v>
      </c>
      <c r="B6" s="18" t="s">
        <v>442</v>
      </c>
      <c r="C6" s="19">
        <v>10</v>
      </c>
      <c r="D6" s="18" t="s">
        <v>443</v>
      </c>
      <c r="E6" s="20" t="s">
        <v>444</v>
      </c>
      <c r="F6" s="18" t="s">
        <v>445</v>
      </c>
      <c r="G6" s="18"/>
      <c r="H6" s="18"/>
      <c r="I6" s="18"/>
      <c r="J6" s="18"/>
      <c r="K6" s="18" t="s">
        <v>446</v>
      </c>
      <c r="L6" s="18" t="s">
        <v>447</v>
      </c>
      <c r="M6" s="18"/>
    </row>
    <row r="7" customFormat="1" ht="24" spans="1:13">
      <c r="A7" s="18"/>
      <c r="B7" s="18"/>
      <c r="C7" s="19"/>
      <c r="D7" s="18"/>
      <c r="E7" s="20"/>
      <c r="F7" s="18" t="s">
        <v>448</v>
      </c>
      <c r="G7" s="18" t="s">
        <v>449</v>
      </c>
      <c r="H7" s="18"/>
      <c r="I7" s="18"/>
      <c r="J7" s="18"/>
      <c r="K7" s="18" t="s">
        <v>450</v>
      </c>
      <c r="L7" s="18" t="s">
        <v>451</v>
      </c>
      <c r="M7" s="18"/>
    </row>
    <row r="8" customFormat="1" ht="24" spans="1:13">
      <c r="A8" s="18"/>
      <c r="B8" s="18"/>
      <c r="C8" s="19"/>
      <c r="D8" s="18"/>
      <c r="E8" s="20"/>
      <c r="F8" s="18" t="s">
        <v>452</v>
      </c>
      <c r="G8" s="18"/>
      <c r="H8" s="18"/>
      <c r="I8" s="18"/>
      <c r="J8" s="18"/>
      <c r="K8" s="18" t="s">
        <v>446</v>
      </c>
      <c r="L8" s="18" t="s">
        <v>447</v>
      </c>
      <c r="M8" s="18"/>
    </row>
    <row r="9" customFormat="1" spans="1:13">
      <c r="A9" s="18"/>
      <c r="B9" s="18"/>
      <c r="C9" s="19"/>
      <c r="D9" s="18"/>
      <c r="E9" s="20" t="s">
        <v>453</v>
      </c>
      <c r="F9" s="18" t="s">
        <v>454</v>
      </c>
      <c r="G9" s="18" t="s">
        <v>455</v>
      </c>
      <c r="H9" s="18"/>
      <c r="I9" s="18"/>
      <c r="J9" s="18"/>
      <c r="K9" s="18" t="s">
        <v>450</v>
      </c>
      <c r="L9" s="18" t="s">
        <v>451</v>
      </c>
      <c r="M9" s="18"/>
    </row>
    <row r="10" customFormat="1" spans="1:13">
      <c r="A10" s="18"/>
      <c r="B10" s="18"/>
      <c r="C10" s="19"/>
      <c r="D10" s="18"/>
      <c r="E10" s="20"/>
      <c r="F10" s="18" t="s">
        <v>456</v>
      </c>
      <c r="G10" s="18"/>
      <c r="H10" s="18"/>
      <c r="I10" s="18"/>
      <c r="J10" s="18"/>
      <c r="K10" s="18" t="s">
        <v>446</v>
      </c>
      <c r="L10" s="18" t="s">
        <v>447</v>
      </c>
      <c r="M10" s="18"/>
    </row>
    <row r="11" customFormat="1" ht="24" spans="1:13">
      <c r="A11" s="18"/>
      <c r="B11" s="18"/>
      <c r="C11" s="19"/>
      <c r="D11" s="18"/>
      <c r="E11" s="20"/>
      <c r="F11" s="18" t="s">
        <v>457</v>
      </c>
      <c r="G11" s="18" t="s">
        <v>458</v>
      </c>
      <c r="H11" s="18"/>
      <c r="I11" s="18"/>
      <c r="J11" s="18"/>
      <c r="K11" s="18" t="s">
        <v>446</v>
      </c>
      <c r="L11" s="18" t="s">
        <v>447</v>
      </c>
      <c r="M11" s="18"/>
    </row>
    <row r="12" customFormat="1" ht="36" spans="1:13">
      <c r="A12" s="18"/>
      <c r="B12" s="18"/>
      <c r="C12" s="19"/>
      <c r="D12" s="18"/>
      <c r="E12" s="20" t="s">
        <v>459</v>
      </c>
      <c r="F12" s="18" t="s">
        <v>460</v>
      </c>
      <c r="G12" s="18" t="s">
        <v>461</v>
      </c>
      <c r="H12" s="18" t="s">
        <v>462</v>
      </c>
      <c r="I12" s="18"/>
      <c r="J12" s="18"/>
      <c r="K12" s="18" t="s">
        <v>463</v>
      </c>
      <c r="L12" s="18" t="s">
        <v>464</v>
      </c>
      <c r="M12" s="18"/>
    </row>
    <row r="13" customFormat="1" ht="24" spans="1:13">
      <c r="A13" s="18"/>
      <c r="B13" s="18"/>
      <c r="C13" s="19"/>
      <c r="D13" s="18"/>
      <c r="E13" s="20" t="s">
        <v>465</v>
      </c>
      <c r="F13" s="18" t="s">
        <v>466</v>
      </c>
      <c r="G13" s="18"/>
      <c r="H13" s="18"/>
      <c r="I13" s="18"/>
      <c r="J13" s="18"/>
      <c r="K13" s="18" t="s">
        <v>446</v>
      </c>
      <c r="L13" s="18" t="s">
        <v>447</v>
      </c>
      <c r="M13" s="18"/>
    </row>
    <row r="14" customFormat="1" ht="36" spans="1:13">
      <c r="A14" s="18"/>
      <c r="B14" s="18"/>
      <c r="C14" s="19"/>
      <c r="D14" s="18"/>
      <c r="E14" s="20"/>
      <c r="F14" s="18" t="s">
        <v>467</v>
      </c>
      <c r="G14" s="18" t="s">
        <v>468</v>
      </c>
      <c r="H14" s="18"/>
      <c r="I14" s="18"/>
      <c r="J14" s="18"/>
      <c r="K14" s="18" t="s">
        <v>446</v>
      </c>
      <c r="L14" s="18" t="s">
        <v>447</v>
      </c>
      <c r="M14" s="18"/>
    </row>
    <row r="15" customFormat="1" ht="24" spans="1:13">
      <c r="A15" s="18"/>
      <c r="B15" s="18"/>
      <c r="C15" s="19"/>
      <c r="D15" s="18"/>
      <c r="E15" s="20"/>
      <c r="F15" s="18" t="s">
        <v>469</v>
      </c>
      <c r="G15" s="18"/>
      <c r="H15" s="18"/>
      <c r="I15" s="18"/>
      <c r="J15" s="18"/>
      <c r="K15" s="18" t="s">
        <v>446</v>
      </c>
      <c r="L15" s="18" t="s">
        <v>447</v>
      </c>
      <c r="M15" s="18"/>
    </row>
    <row r="16" customFormat="1" ht="24" spans="1:13">
      <c r="A16" s="18">
        <v>405022</v>
      </c>
      <c r="B16" s="18" t="s">
        <v>470</v>
      </c>
      <c r="C16" s="19">
        <v>3</v>
      </c>
      <c r="D16" s="18" t="s">
        <v>471</v>
      </c>
      <c r="E16" s="20" t="s">
        <v>444</v>
      </c>
      <c r="F16" s="18" t="s">
        <v>445</v>
      </c>
      <c r="G16" s="18"/>
      <c r="H16" s="18"/>
      <c r="I16" s="18"/>
      <c r="J16" s="18"/>
      <c r="K16" s="18" t="s">
        <v>446</v>
      </c>
      <c r="L16" s="18" t="s">
        <v>447</v>
      </c>
      <c r="M16" s="18"/>
    </row>
    <row r="17" customFormat="1" ht="24" spans="1:13">
      <c r="A17" s="18"/>
      <c r="B17" s="18"/>
      <c r="C17" s="19"/>
      <c r="D17" s="18"/>
      <c r="E17" s="20"/>
      <c r="F17" s="18" t="s">
        <v>448</v>
      </c>
      <c r="G17" s="18"/>
      <c r="H17" s="18"/>
      <c r="I17" s="18"/>
      <c r="J17" s="18"/>
      <c r="K17" s="18" t="s">
        <v>446</v>
      </c>
      <c r="L17" s="18" t="s">
        <v>447</v>
      </c>
      <c r="M17" s="18"/>
    </row>
    <row r="18" customFormat="1" ht="24" spans="1:13">
      <c r="A18" s="18"/>
      <c r="B18" s="18"/>
      <c r="C18" s="19"/>
      <c r="D18" s="18"/>
      <c r="E18" s="20"/>
      <c r="F18" s="18" t="s">
        <v>452</v>
      </c>
      <c r="G18" s="18"/>
      <c r="H18" s="18"/>
      <c r="I18" s="18"/>
      <c r="J18" s="18"/>
      <c r="K18" s="18" t="s">
        <v>446</v>
      </c>
      <c r="L18" s="18" t="s">
        <v>447</v>
      </c>
      <c r="M18" s="18"/>
    </row>
    <row r="19" customFormat="1" ht="36" spans="1:13">
      <c r="A19" s="18"/>
      <c r="B19" s="18"/>
      <c r="C19" s="19"/>
      <c r="D19" s="18"/>
      <c r="E19" s="20" t="s">
        <v>453</v>
      </c>
      <c r="F19" s="18" t="s">
        <v>454</v>
      </c>
      <c r="G19" s="18" t="s">
        <v>472</v>
      </c>
      <c r="H19" s="18" t="s">
        <v>473</v>
      </c>
      <c r="I19" s="18"/>
      <c r="J19" s="18"/>
      <c r="K19" s="18" t="s">
        <v>446</v>
      </c>
      <c r="L19" s="18" t="s">
        <v>447</v>
      </c>
      <c r="M19" s="18"/>
    </row>
    <row r="20" customFormat="1" ht="24" spans="1:13">
      <c r="A20" s="18"/>
      <c r="B20" s="18"/>
      <c r="C20" s="19"/>
      <c r="D20" s="18"/>
      <c r="E20" s="20"/>
      <c r="F20" s="18" t="s">
        <v>456</v>
      </c>
      <c r="G20" s="18" t="s">
        <v>474</v>
      </c>
      <c r="H20" s="18" t="s">
        <v>475</v>
      </c>
      <c r="I20" s="18"/>
      <c r="J20" s="18"/>
      <c r="K20" s="18" t="s">
        <v>446</v>
      </c>
      <c r="L20" s="18" t="s">
        <v>447</v>
      </c>
      <c r="M20" s="18"/>
    </row>
    <row r="21" customFormat="1" spans="1:13">
      <c r="A21" s="18"/>
      <c r="B21" s="18"/>
      <c r="C21" s="19"/>
      <c r="D21" s="18"/>
      <c r="E21" s="20"/>
      <c r="F21" s="18" t="s">
        <v>457</v>
      </c>
      <c r="G21" s="18"/>
      <c r="H21" s="18"/>
      <c r="I21" s="18"/>
      <c r="J21" s="18"/>
      <c r="K21" s="18" t="s">
        <v>446</v>
      </c>
      <c r="L21" s="18" t="s">
        <v>447</v>
      </c>
      <c r="M21" s="18"/>
    </row>
    <row r="22" customFormat="1" ht="84" spans="1:13">
      <c r="A22" s="18"/>
      <c r="B22" s="18"/>
      <c r="C22" s="19"/>
      <c r="D22" s="18"/>
      <c r="E22" s="20" t="s">
        <v>459</v>
      </c>
      <c r="F22" s="18" t="s">
        <v>460</v>
      </c>
      <c r="G22" s="18" t="s">
        <v>476</v>
      </c>
      <c r="H22" s="18" t="s">
        <v>477</v>
      </c>
      <c r="I22" s="18"/>
      <c r="J22" s="18"/>
      <c r="K22" s="18" t="s">
        <v>446</v>
      </c>
      <c r="L22" s="18" t="s">
        <v>447</v>
      </c>
      <c r="M22" s="18"/>
    </row>
    <row r="23" customFormat="1" ht="84" spans="1:13">
      <c r="A23" s="18"/>
      <c r="B23" s="18"/>
      <c r="C23" s="19"/>
      <c r="D23" s="18"/>
      <c r="E23" s="20" t="s">
        <v>465</v>
      </c>
      <c r="F23" s="18" t="s">
        <v>466</v>
      </c>
      <c r="G23" s="18" t="s">
        <v>478</v>
      </c>
      <c r="H23" s="18" t="s">
        <v>479</v>
      </c>
      <c r="I23" s="18"/>
      <c r="J23" s="18"/>
      <c r="K23" s="18" t="s">
        <v>446</v>
      </c>
      <c r="L23" s="18" t="s">
        <v>447</v>
      </c>
      <c r="M23" s="18"/>
    </row>
    <row r="24" customFormat="1" ht="48" spans="1:13">
      <c r="A24" s="18"/>
      <c r="B24" s="18"/>
      <c r="C24" s="19"/>
      <c r="D24" s="18"/>
      <c r="E24" s="20"/>
      <c r="F24" s="18" t="s">
        <v>467</v>
      </c>
      <c r="G24" s="18" t="s">
        <v>480</v>
      </c>
      <c r="H24" s="18" t="s">
        <v>479</v>
      </c>
      <c r="I24" s="18"/>
      <c r="J24" s="18"/>
      <c r="K24" s="18" t="s">
        <v>446</v>
      </c>
      <c r="L24" s="18" t="s">
        <v>447</v>
      </c>
      <c r="M24" s="18"/>
    </row>
    <row r="25" customFormat="1" ht="24" spans="1:13">
      <c r="A25" s="18"/>
      <c r="B25" s="18"/>
      <c r="C25" s="19"/>
      <c r="D25" s="18"/>
      <c r="E25" s="20"/>
      <c r="F25" s="18" t="s">
        <v>469</v>
      </c>
      <c r="G25" s="18"/>
      <c r="H25" s="18"/>
      <c r="I25" s="18"/>
      <c r="J25" s="18"/>
      <c r="K25" s="18" t="s">
        <v>446</v>
      </c>
      <c r="L25" s="18" t="s">
        <v>447</v>
      </c>
      <c r="M25" s="18"/>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abSelected="1" zoomScale="70" zoomScaleNormal="70" topLeftCell="B1" workbookViewId="0">
      <selection activeCell="E8" sqref="E8:E16"/>
    </sheetView>
  </sheetViews>
  <sheetFormatPr defaultColWidth="10" defaultRowHeight="13.5"/>
  <cols>
    <col min="1" max="1" width="12.8833333333333" customWidth="1"/>
    <col min="2" max="2" width="25.5" customWidth="1"/>
    <col min="3" max="3" width="9.75" customWidth="1"/>
    <col min="4" max="4" width="12.8833333333333" customWidth="1"/>
    <col min="5" max="6" width="9.75" customWidth="1"/>
    <col min="7" max="7" width="9.38333333333333" customWidth="1"/>
    <col min="8" max="8" width="8.88333333333333" customWidth="1"/>
    <col min="9" max="9" width="9.75" customWidth="1"/>
    <col min="10" max="10" width="50.3833333333333" customWidth="1"/>
    <col min="11" max="11" width="9.75" customWidth="1"/>
    <col min="12" max="12" width="16.1333333333333" customWidth="1"/>
    <col min="13" max="13" width="16.8833333333333" customWidth="1"/>
    <col min="14" max="15" width="9.75" customWidth="1"/>
    <col min="16" max="16" width="15.8833333333333" customWidth="1"/>
    <col min="17" max="17" width="20.3833333333333" customWidth="1"/>
    <col min="18" max="18" width="16.75" customWidth="1"/>
    <col min="19" max="19" width="15.75" customWidth="1"/>
    <col min="20" max="20" width="9.75" customWidth="1"/>
  </cols>
  <sheetData>
    <row r="1" ht="28" customHeight="1" spans="19:19">
      <c r="S1" s="13" t="s">
        <v>481</v>
      </c>
    </row>
    <row r="2" ht="42.2" customHeight="1" spans="1:19">
      <c r="A2" s="1" t="s">
        <v>482</v>
      </c>
      <c r="B2" s="1"/>
      <c r="C2" s="1"/>
      <c r="D2" s="1"/>
      <c r="E2" s="1"/>
      <c r="F2" s="1"/>
      <c r="G2" s="1"/>
      <c r="H2" s="1"/>
      <c r="I2" s="1"/>
      <c r="J2" s="1"/>
      <c r="K2" s="1"/>
      <c r="L2" s="1"/>
      <c r="M2" s="1"/>
      <c r="N2" s="1"/>
      <c r="O2" s="1"/>
      <c r="P2" s="1"/>
      <c r="Q2" s="1"/>
      <c r="R2" s="1"/>
      <c r="S2" s="1"/>
    </row>
    <row r="3" ht="23.25" customHeight="1" spans="1:19">
      <c r="A3" s="2" t="str">
        <f>"部门"&amp;":"&amp;封面!E4&amp;封面!E5</f>
        <v>部门:405022益阳市赫山区新市渡镇卫生院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394</v>
      </c>
      <c r="B5" s="4" t="s">
        <v>395</v>
      </c>
      <c r="C5" s="4" t="s">
        <v>483</v>
      </c>
      <c r="D5" s="4"/>
      <c r="E5" s="4"/>
      <c r="F5" s="4"/>
      <c r="G5" s="4"/>
      <c r="H5" s="4"/>
      <c r="I5" s="4"/>
      <c r="J5" s="4" t="s">
        <v>484</v>
      </c>
      <c r="K5" s="9" t="s">
        <v>485</v>
      </c>
      <c r="L5" s="9"/>
      <c r="M5" s="9"/>
      <c r="N5" s="9"/>
      <c r="O5" s="9"/>
      <c r="P5" s="9"/>
      <c r="Q5" s="9"/>
      <c r="R5" s="9"/>
      <c r="S5" s="9"/>
    </row>
    <row r="6" ht="32.85" customHeight="1" spans="1:19">
      <c r="A6" s="4"/>
      <c r="B6" s="4"/>
      <c r="C6" s="4" t="s">
        <v>430</v>
      </c>
      <c r="D6" s="4" t="s">
        <v>486</v>
      </c>
      <c r="E6" s="4"/>
      <c r="F6" s="4"/>
      <c r="G6" s="4"/>
      <c r="H6" s="4" t="s">
        <v>487</v>
      </c>
      <c r="I6" s="4"/>
      <c r="J6" s="4"/>
      <c r="K6" s="9"/>
      <c r="L6" s="9"/>
      <c r="M6" s="9"/>
      <c r="N6" s="9"/>
      <c r="O6" s="9"/>
      <c r="P6" s="9"/>
      <c r="Q6" s="9"/>
      <c r="R6" s="9"/>
      <c r="S6" s="9"/>
    </row>
    <row r="7" ht="38.85" customHeight="1" spans="1:19">
      <c r="A7" s="4"/>
      <c r="B7" s="4"/>
      <c r="C7" s="4"/>
      <c r="D7" s="4" t="s">
        <v>139</v>
      </c>
      <c r="E7" s="4" t="s">
        <v>488</v>
      </c>
      <c r="F7" s="4" t="s">
        <v>143</v>
      </c>
      <c r="G7" s="4" t="s">
        <v>489</v>
      </c>
      <c r="H7" s="4" t="s">
        <v>160</v>
      </c>
      <c r="I7" s="4" t="s">
        <v>161</v>
      </c>
      <c r="J7" s="4"/>
      <c r="K7" s="4" t="s">
        <v>433</v>
      </c>
      <c r="L7" s="4" t="s">
        <v>434</v>
      </c>
      <c r="M7" s="4" t="s">
        <v>435</v>
      </c>
      <c r="N7" s="4" t="s">
        <v>440</v>
      </c>
      <c r="O7" s="4" t="s">
        <v>436</v>
      </c>
      <c r="P7" s="4" t="s">
        <v>490</v>
      </c>
      <c r="Q7" s="4" t="s">
        <v>491</v>
      </c>
      <c r="R7" s="4" t="s">
        <v>492</v>
      </c>
      <c r="S7" s="4" t="s">
        <v>441</v>
      </c>
    </row>
    <row r="8" ht="50.65" customHeight="1" spans="1:19">
      <c r="A8" s="5">
        <f>封面!E4</f>
        <v>405022</v>
      </c>
      <c r="B8" s="5" t="str">
        <f>封面!E5</f>
        <v>益阳市赫山区新市渡镇卫生院</v>
      </c>
      <c r="C8" s="6">
        <f>'1收支总表'!B6</f>
        <v>75.99638</v>
      </c>
      <c r="D8" s="6">
        <f>C8</f>
        <v>75.99638</v>
      </c>
      <c r="E8" s="6"/>
      <c r="F8" s="6"/>
      <c r="G8" s="6"/>
      <c r="H8" s="6">
        <f>D8-I8</f>
        <v>62.99638</v>
      </c>
      <c r="I8" s="6">
        <f>'3支出总表'!H6</f>
        <v>13</v>
      </c>
      <c r="J8" s="10" t="s">
        <v>493</v>
      </c>
      <c r="K8" s="11" t="s">
        <v>453</v>
      </c>
      <c r="L8" s="11" t="s">
        <v>494</v>
      </c>
      <c r="M8" s="10"/>
      <c r="N8" s="10"/>
      <c r="O8" s="10"/>
      <c r="P8" s="10"/>
      <c r="Q8" s="10"/>
      <c r="R8" s="10"/>
      <c r="S8" s="10"/>
    </row>
    <row r="9" ht="50.65" customHeight="1" spans="1:19">
      <c r="A9" s="7"/>
      <c r="B9" s="7"/>
      <c r="C9" s="6"/>
      <c r="D9" s="6"/>
      <c r="E9" s="6"/>
      <c r="F9" s="6"/>
      <c r="G9" s="6"/>
      <c r="H9" s="6"/>
      <c r="I9" s="6"/>
      <c r="J9" s="10"/>
      <c r="K9" s="11"/>
      <c r="L9" s="11" t="s">
        <v>495</v>
      </c>
      <c r="M9" s="12" t="s">
        <v>496</v>
      </c>
      <c r="N9" s="12"/>
      <c r="O9" s="12" t="s">
        <v>473</v>
      </c>
      <c r="P9" s="12"/>
      <c r="Q9" s="12" t="s">
        <v>497</v>
      </c>
      <c r="R9" s="12" t="s">
        <v>498</v>
      </c>
      <c r="S9" s="10"/>
    </row>
    <row r="10" ht="50.65" customHeight="1" spans="1:19">
      <c r="A10" s="7"/>
      <c r="B10" s="7"/>
      <c r="C10" s="6"/>
      <c r="D10" s="6"/>
      <c r="E10" s="6"/>
      <c r="F10" s="6"/>
      <c r="G10" s="6"/>
      <c r="H10" s="6"/>
      <c r="I10" s="6"/>
      <c r="J10" s="10"/>
      <c r="K10" s="11"/>
      <c r="L10" s="11" t="s">
        <v>499</v>
      </c>
      <c r="M10" s="12" t="s">
        <v>500</v>
      </c>
      <c r="N10" s="12"/>
      <c r="O10" s="12" t="s">
        <v>473</v>
      </c>
      <c r="P10" s="10"/>
      <c r="Q10" s="10"/>
      <c r="R10" s="12" t="s">
        <v>498</v>
      </c>
      <c r="S10" s="10"/>
    </row>
    <row r="11" ht="50.65" customHeight="1" spans="1:19">
      <c r="A11" s="7"/>
      <c r="B11" s="7"/>
      <c r="C11" s="6"/>
      <c r="D11" s="6"/>
      <c r="E11" s="6"/>
      <c r="F11" s="6"/>
      <c r="G11" s="6"/>
      <c r="H11" s="6"/>
      <c r="I11" s="6"/>
      <c r="J11" s="10"/>
      <c r="K11" s="11"/>
      <c r="L11" s="11" t="s">
        <v>444</v>
      </c>
      <c r="M11" s="12" t="s">
        <v>501</v>
      </c>
      <c r="N11" s="12"/>
      <c r="O11" s="12" t="s">
        <v>502</v>
      </c>
      <c r="P11" s="12"/>
      <c r="Q11" s="12" t="s">
        <v>503</v>
      </c>
      <c r="R11" s="12" t="s">
        <v>498</v>
      </c>
      <c r="S11" s="10"/>
    </row>
    <row r="12" ht="50.65" customHeight="1" spans="1:19">
      <c r="A12" s="7"/>
      <c r="B12" s="7"/>
      <c r="C12" s="6"/>
      <c r="D12" s="6"/>
      <c r="E12" s="6"/>
      <c r="F12" s="6"/>
      <c r="G12" s="6"/>
      <c r="H12" s="6"/>
      <c r="I12" s="6"/>
      <c r="J12" s="10"/>
      <c r="K12" s="11" t="s">
        <v>504</v>
      </c>
      <c r="L12" s="11" t="s">
        <v>466</v>
      </c>
      <c r="M12" s="12" t="s">
        <v>505</v>
      </c>
      <c r="N12" s="12"/>
      <c r="O12" s="12" t="s">
        <v>506</v>
      </c>
      <c r="P12" s="12"/>
      <c r="Q12" s="12" t="s">
        <v>507</v>
      </c>
      <c r="R12" s="12" t="s">
        <v>498</v>
      </c>
      <c r="S12" s="10"/>
    </row>
    <row r="13" ht="50.65" customHeight="1" spans="1:19">
      <c r="A13" s="7"/>
      <c r="B13" s="7"/>
      <c r="C13" s="6"/>
      <c r="D13" s="6"/>
      <c r="E13" s="6"/>
      <c r="F13" s="6"/>
      <c r="G13" s="6"/>
      <c r="H13" s="6"/>
      <c r="I13" s="6"/>
      <c r="J13" s="10"/>
      <c r="K13" s="11"/>
      <c r="L13" s="11" t="s">
        <v>467</v>
      </c>
      <c r="M13" s="12" t="s">
        <v>508</v>
      </c>
      <c r="N13" s="12"/>
      <c r="O13" s="12" t="s">
        <v>506</v>
      </c>
      <c r="P13" s="12"/>
      <c r="Q13" s="12" t="s">
        <v>509</v>
      </c>
      <c r="R13" s="12" t="s">
        <v>498</v>
      </c>
      <c r="S13" s="10"/>
    </row>
    <row r="14" ht="50.65" customHeight="1" spans="1:19">
      <c r="A14" s="7"/>
      <c r="B14" s="7"/>
      <c r="C14" s="6"/>
      <c r="D14" s="6"/>
      <c r="E14" s="6"/>
      <c r="F14" s="6"/>
      <c r="G14" s="6"/>
      <c r="H14" s="6"/>
      <c r="I14" s="6"/>
      <c r="J14" s="10"/>
      <c r="K14" s="11"/>
      <c r="L14" s="11" t="s">
        <v>469</v>
      </c>
      <c r="M14" s="12" t="s">
        <v>510</v>
      </c>
      <c r="N14" s="12"/>
      <c r="O14" s="12" t="s">
        <v>506</v>
      </c>
      <c r="P14" s="12"/>
      <c r="Q14" s="12" t="s">
        <v>511</v>
      </c>
      <c r="R14" s="12" t="s">
        <v>498</v>
      </c>
      <c r="S14" s="10"/>
    </row>
    <row r="15" ht="50.65" customHeight="1" spans="1:19">
      <c r="A15" s="7"/>
      <c r="B15" s="7"/>
      <c r="C15" s="6"/>
      <c r="D15" s="6"/>
      <c r="E15" s="6"/>
      <c r="F15" s="6"/>
      <c r="G15" s="6"/>
      <c r="H15" s="6"/>
      <c r="I15" s="6"/>
      <c r="J15" s="10"/>
      <c r="K15" s="11"/>
      <c r="L15" s="11" t="s">
        <v>512</v>
      </c>
      <c r="M15" s="12" t="s">
        <v>513</v>
      </c>
      <c r="N15" s="12"/>
      <c r="O15" s="12" t="s">
        <v>514</v>
      </c>
      <c r="P15" s="12"/>
      <c r="Q15" s="12" t="s">
        <v>515</v>
      </c>
      <c r="R15" s="12" t="s">
        <v>498</v>
      </c>
      <c r="S15" s="10"/>
    </row>
    <row r="16" ht="50.65" customHeight="1" spans="1:19">
      <c r="A16" s="8"/>
      <c r="B16" s="8"/>
      <c r="C16" s="6"/>
      <c r="D16" s="6"/>
      <c r="E16" s="6"/>
      <c r="F16" s="6"/>
      <c r="G16" s="6"/>
      <c r="H16" s="6"/>
      <c r="I16" s="6"/>
      <c r="J16" s="10"/>
      <c r="K16" s="11" t="s">
        <v>459</v>
      </c>
      <c r="L16" s="11" t="s">
        <v>460</v>
      </c>
      <c r="M16" s="12" t="s">
        <v>516</v>
      </c>
      <c r="N16" s="12"/>
      <c r="O16" s="12" t="s">
        <v>473</v>
      </c>
      <c r="P16" s="12"/>
      <c r="Q16" s="12" t="s">
        <v>517</v>
      </c>
      <c r="R16" s="12" t="s">
        <v>518</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zoomScale="150" zoomScaleNormal="150" topLeftCell="E1" workbookViewId="0">
      <selection activeCell="F6" sqref="F6"/>
    </sheetView>
  </sheetViews>
  <sheetFormatPr defaultColWidth="10" defaultRowHeight="13.5" outlineLevelCol="7"/>
  <cols>
    <col min="1" max="1" width="29.5" style="35" customWidth="1"/>
    <col min="2" max="2" width="10.1333333333333" style="35" customWidth="1"/>
    <col min="3" max="3" width="23.1333333333333" style="35" customWidth="1"/>
    <col min="4" max="4" width="10.6333333333333" style="35" customWidth="1"/>
    <col min="5" max="5" width="24" style="35" customWidth="1"/>
    <col min="6" max="6" width="10.5" style="35" customWidth="1"/>
    <col min="7" max="7" width="20.25" style="35" customWidth="1"/>
    <col min="8" max="8" width="11" style="35" customWidth="1"/>
    <col min="9" max="9" width="9.75" style="35" customWidth="1"/>
    <col min="10" max="16384" width="10" style="35"/>
  </cols>
  <sheetData>
    <row r="1" ht="12.95" customHeight="1" spans="1:8">
      <c r="A1" s="36"/>
      <c r="E1" s="57"/>
      <c r="H1" s="37" t="s">
        <v>30</v>
      </c>
    </row>
    <row r="2" ht="24.2" customHeight="1" spans="1:8">
      <c r="A2" s="102" t="s">
        <v>6</v>
      </c>
      <c r="B2" s="102"/>
      <c r="C2" s="102"/>
      <c r="D2" s="102"/>
      <c r="E2" s="102"/>
      <c r="F2" s="102"/>
      <c r="G2" s="102"/>
      <c r="H2" s="102"/>
    </row>
    <row r="3" ht="17.25" customHeight="1" spans="1:8">
      <c r="A3" s="39" t="str">
        <f>"部门"&amp;":"&amp;封面!E4&amp;封面!E5</f>
        <v>部门:405022益阳市赫山区新市渡镇卫生院</v>
      </c>
      <c r="B3" s="39"/>
      <c r="C3" s="39"/>
      <c r="D3" s="39"/>
      <c r="E3" s="39"/>
      <c r="F3" s="39"/>
      <c r="G3" s="40" t="s">
        <v>31</v>
      </c>
      <c r="H3" s="40"/>
    </row>
    <row r="4" ht="17.85" customHeight="1" spans="1:8">
      <c r="A4" s="41" t="s">
        <v>32</v>
      </c>
      <c r="B4" s="41"/>
      <c r="C4" s="41" t="s">
        <v>33</v>
      </c>
      <c r="D4" s="41"/>
      <c r="E4" s="41"/>
      <c r="F4" s="41"/>
      <c r="G4" s="41"/>
      <c r="H4" s="41"/>
    </row>
    <row r="5" ht="22.35" customHeight="1" spans="1:8">
      <c r="A5" s="41" t="s">
        <v>34</v>
      </c>
      <c r="B5" s="41" t="s">
        <v>35</v>
      </c>
      <c r="C5" s="41" t="s">
        <v>36</v>
      </c>
      <c r="D5" s="41" t="s">
        <v>35</v>
      </c>
      <c r="E5" s="41" t="s">
        <v>37</v>
      </c>
      <c r="F5" s="41" t="s">
        <v>35</v>
      </c>
      <c r="G5" s="41" t="s">
        <v>38</v>
      </c>
      <c r="H5" s="41" t="s">
        <v>35</v>
      </c>
    </row>
    <row r="6" ht="16.35" customHeight="1" spans="1:8">
      <c r="A6" s="42" t="s">
        <v>39</v>
      </c>
      <c r="B6" s="45">
        <f>VLOOKUP(封面!$E$5,[1]一般预算拨款!$A$7:$AB$32,28,0)</f>
        <v>75.99638</v>
      </c>
      <c r="C6" s="47" t="s">
        <v>40</v>
      </c>
      <c r="D6" s="45"/>
      <c r="E6" s="42" t="s">
        <v>41</v>
      </c>
      <c r="F6" s="43">
        <f>F7+F8</f>
        <v>62.99638</v>
      </c>
      <c r="G6" s="47" t="s">
        <v>42</v>
      </c>
      <c r="H6" s="55">
        <f>F7</f>
        <v>51.88118</v>
      </c>
    </row>
    <row r="7" ht="16.35" customHeight="1" spans="1:8">
      <c r="A7" s="47" t="s">
        <v>43</v>
      </c>
      <c r="B7" s="55"/>
      <c r="C7" s="47" t="s">
        <v>44</v>
      </c>
      <c r="D7" s="45"/>
      <c r="E7" s="47" t="s">
        <v>45</v>
      </c>
      <c r="F7" s="45">
        <f>VLOOKUP(封面!$E$5,[1]一般预算拨款!$A$7:$AB$32,2,0)</f>
        <v>51.88118</v>
      </c>
      <c r="G7" s="47" t="s">
        <v>46</v>
      </c>
      <c r="H7" s="55">
        <f>F8+F12</f>
        <v>24.1152</v>
      </c>
    </row>
    <row r="8" ht="16.35" customHeight="1" spans="1:8">
      <c r="A8" s="42" t="s">
        <v>47</v>
      </c>
      <c r="B8" s="55"/>
      <c r="C8" s="47" t="s">
        <v>48</v>
      </c>
      <c r="D8" s="45"/>
      <c r="E8" s="47" t="s">
        <v>49</v>
      </c>
      <c r="F8" s="45">
        <f>VLOOKUP(封面!$E$5,[1]一般预算拨款!$A$7:$AB$32,13,0)-F12</f>
        <v>11.1152</v>
      </c>
      <c r="G8" s="47" t="s">
        <v>50</v>
      </c>
      <c r="H8" s="55"/>
    </row>
    <row r="9" ht="16.35" customHeight="1" spans="1:8">
      <c r="A9" s="47" t="s">
        <v>51</v>
      </c>
      <c r="B9" s="55"/>
      <c r="C9" s="47" t="s">
        <v>52</v>
      </c>
      <c r="D9" s="45"/>
      <c r="E9" s="47" t="s">
        <v>53</v>
      </c>
      <c r="F9" s="55"/>
      <c r="G9" s="47" t="s">
        <v>54</v>
      </c>
      <c r="H9" s="55"/>
    </row>
    <row r="10" ht="16.35" customHeight="1" spans="1:8">
      <c r="A10" s="47" t="s">
        <v>55</v>
      </c>
      <c r="B10" s="55"/>
      <c r="C10" s="47" t="s">
        <v>56</v>
      </c>
      <c r="D10" s="45"/>
      <c r="E10" s="42" t="s">
        <v>57</v>
      </c>
      <c r="F10" s="43">
        <f>F12</f>
        <v>13</v>
      </c>
      <c r="G10" s="47" t="s">
        <v>58</v>
      </c>
      <c r="H10" s="55"/>
    </row>
    <row r="11" ht="16.35" customHeight="1" spans="1:8">
      <c r="A11" s="47" t="s">
        <v>59</v>
      </c>
      <c r="B11" s="55"/>
      <c r="C11" s="47" t="s">
        <v>60</v>
      </c>
      <c r="D11" s="45"/>
      <c r="E11" s="47" t="s">
        <v>61</v>
      </c>
      <c r="F11" s="55"/>
      <c r="G11" s="47" t="s">
        <v>62</v>
      </c>
      <c r="H11" s="55"/>
    </row>
    <row r="12" ht="16.35" customHeight="1" spans="1:8">
      <c r="A12" s="47" t="s">
        <v>63</v>
      </c>
      <c r="B12" s="55"/>
      <c r="C12" s="47" t="s">
        <v>64</v>
      </c>
      <c r="D12" s="45"/>
      <c r="E12" s="47" t="s">
        <v>65</v>
      </c>
      <c r="F12" s="45">
        <f>VLOOKUP(封面!$E$5,[1]一般预算拨款!$A$7:$AB$32,27,0)</f>
        <v>13</v>
      </c>
      <c r="G12" s="47" t="s">
        <v>66</v>
      </c>
      <c r="H12" s="55"/>
    </row>
    <row r="13" ht="16.35" customHeight="1" spans="1:8">
      <c r="A13" s="47" t="s">
        <v>67</v>
      </c>
      <c r="B13" s="55"/>
      <c r="C13" s="47" t="s">
        <v>68</v>
      </c>
      <c r="D13" s="45">
        <f>VLOOKUP(封面!$E$5,[1]一般预算拨款!$A$7:$I$32,8,0)</f>
        <v>7.3364</v>
      </c>
      <c r="E13" s="47" t="s">
        <v>69</v>
      </c>
      <c r="F13" s="55"/>
      <c r="G13" s="47" t="s">
        <v>70</v>
      </c>
      <c r="H13" s="55"/>
    </row>
    <row r="14" ht="16.35" customHeight="1" spans="1:8">
      <c r="A14" s="47" t="s">
        <v>71</v>
      </c>
      <c r="B14" s="55"/>
      <c r="C14" s="47" t="s">
        <v>72</v>
      </c>
      <c r="D14" s="45"/>
      <c r="E14" s="47" t="s">
        <v>73</v>
      </c>
      <c r="F14" s="55"/>
      <c r="G14" s="47" t="s">
        <v>74</v>
      </c>
      <c r="H14" s="55">
        <v>0</v>
      </c>
    </row>
    <row r="15" ht="16.35" customHeight="1" spans="1:8">
      <c r="A15" s="47" t="s">
        <v>75</v>
      </c>
      <c r="B15" s="55"/>
      <c r="C15" s="47" t="s">
        <v>76</v>
      </c>
      <c r="D15" s="45">
        <f>B6-D13</f>
        <v>68.65998</v>
      </c>
      <c r="E15" s="47" t="s">
        <v>77</v>
      </c>
      <c r="F15" s="55"/>
      <c r="G15" s="47" t="s">
        <v>78</v>
      </c>
      <c r="H15" s="55"/>
    </row>
    <row r="16" ht="16.35" customHeight="1" spans="1:8">
      <c r="A16" s="47" t="s">
        <v>79</v>
      </c>
      <c r="B16" s="55"/>
      <c r="C16" s="47" t="s">
        <v>80</v>
      </c>
      <c r="D16" s="45"/>
      <c r="E16" s="47" t="s">
        <v>81</v>
      </c>
      <c r="F16" s="55"/>
      <c r="G16" s="47" t="s">
        <v>82</v>
      </c>
      <c r="H16" s="55"/>
    </row>
    <row r="17" ht="16.35" customHeight="1" spans="1:8">
      <c r="A17" s="47" t="s">
        <v>83</v>
      </c>
      <c r="B17" s="55"/>
      <c r="C17" s="47" t="s">
        <v>84</v>
      </c>
      <c r="D17" s="45"/>
      <c r="E17" s="47" t="s">
        <v>85</v>
      </c>
      <c r="F17" s="55"/>
      <c r="G17" s="47" t="s">
        <v>86</v>
      </c>
      <c r="H17" s="55"/>
    </row>
    <row r="18" ht="16.35" customHeight="1" spans="1:8">
      <c r="A18" s="47" t="s">
        <v>87</v>
      </c>
      <c r="B18" s="55"/>
      <c r="C18" s="47" t="s">
        <v>88</v>
      </c>
      <c r="D18" s="45"/>
      <c r="E18" s="47" t="s">
        <v>89</v>
      </c>
      <c r="F18" s="55"/>
      <c r="G18" s="47" t="s">
        <v>90</v>
      </c>
      <c r="H18" s="55"/>
    </row>
    <row r="19" ht="16.35" customHeight="1" spans="1:8">
      <c r="A19" s="47" t="s">
        <v>91</v>
      </c>
      <c r="B19" s="55"/>
      <c r="C19" s="47" t="s">
        <v>92</v>
      </c>
      <c r="D19" s="45"/>
      <c r="E19" s="47" t="s">
        <v>93</v>
      </c>
      <c r="F19" s="55"/>
      <c r="G19" s="47" t="s">
        <v>94</v>
      </c>
      <c r="H19" s="55"/>
    </row>
    <row r="20" ht="16.35" customHeight="1" spans="1:8">
      <c r="A20" s="42" t="s">
        <v>95</v>
      </c>
      <c r="B20" s="43"/>
      <c r="C20" s="47" t="s">
        <v>96</v>
      </c>
      <c r="D20" s="45"/>
      <c r="E20" s="47" t="s">
        <v>97</v>
      </c>
      <c r="F20" s="55"/>
      <c r="G20" s="47"/>
      <c r="H20" s="55"/>
    </row>
    <row r="21" ht="16.35" customHeight="1" spans="1:8">
      <c r="A21" s="42" t="s">
        <v>98</v>
      </c>
      <c r="B21" s="43"/>
      <c r="C21" s="47" t="s">
        <v>99</v>
      </c>
      <c r="D21" s="45"/>
      <c r="E21" s="42" t="s">
        <v>100</v>
      </c>
      <c r="F21" s="43"/>
      <c r="G21" s="47"/>
      <c r="H21" s="55"/>
    </row>
    <row r="22" ht="16.35" customHeight="1" spans="1:8">
      <c r="A22" s="42" t="s">
        <v>101</v>
      </c>
      <c r="B22" s="43"/>
      <c r="C22" s="47" t="s">
        <v>102</v>
      </c>
      <c r="D22" s="45"/>
      <c r="E22" s="47"/>
      <c r="F22" s="47"/>
      <c r="G22" s="47"/>
      <c r="H22" s="55"/>
    </row>
    <row r="23" ht="16.35" customHeight="1" spans="1:8">
      <c r="A23" s="42" t="s">
        <v>103</v>
      </c>
      <c r="B23" s="43"/>
      <c r="C23" s="47" t="s">
        <v>104</v>
      </c>
      <c r="D23" s="45"/>
      <c r="E23" s="47"/>
      <c r="F23" s="47"/>
      <c r="G23" s="47"/>
      <c r="H23" s="55"/>
    </row>
    <row r="24" ht="16.35" customHeight="1" spans="1:8">
      <c r="A24" s="42" t="s">
        <v>105</v>
      </c>
      <c r="B24" s="43"/>
      <c r="C24" s="47" t="s">
        <v>106</v>
      </c>
      <c r="D24" s="45"/>
      <c r="E24" s="47"/>
      <c r="F24" s="47"/>
      <c r="G24" s="47"/>
      <c r="H24" s="55"/>
    </row>
    <row r="25" ht="16.35" customHeight="1" spans="1:8">
      <c r="A25" s="47" t="s">
        <v>107</v>
      </c>
      <c r="B25" s="55"/>
      <c r="C25" s="47" t="s">
        <v>108</v>
      </c>
      <c r="D25" s="45"/>
      <c r="E25" s="47"/>
      <c r="F25" s="47"/>
      <c r="G25" s="47"/>
      <c r="H25" s="55"/>
    </row>
    <row r="26" ht="16.35" customHeight="1" spans="1:8">
      <c r="A26" s="47" t="s">
        <v>109</v>
      </c>
      <c r="B26" s="55"/>
      <c r="C26" s="47" t="s">
        <v>110</v>
      </c>
      <c r="D26" s="45"/>
      <c r="E26" s="47"/>
      <c r="F26" s="47"/>
      <c r="G26" s="47"/>
      <c r="H26" s="55"/>
    </row>
    <row r="27" ht="16.35" customHeight="1" spans="1:8">
      <c r="A27" s="47" t="s">
        <v>111</v>
      </c>
      <c r="B27" s="55"/>
      <c r="C27" s="47" t="s">
        <v>112</v>
      </c>
      <c r="D27" s="45"/>
      <c r="E27" s="47"/>
      <c r="F27" s="47"/>
      <c r="G27" s="47"/>
      <c r="H27" s="55"/>
    </row>
    <row r="28" ht="16.35" customHeight="1" spans="1:8">
      <c r="A28" s="42" t="s">
        <v>113</v>
      </c>
      <c r="B28" s="43"/>
      <c r="C28" s="47" t="s">
        <v>114</v>
      </c>
      <c r="D28" s="45"/>
      <c r="E28" s="47"/>
      <c r="F28" s="47"/>
      <c r="G28" s="47"/>
      <c r="H28" s="55"/>
    </row>
    <row r="29" ht="16.35" customHeight="1" spans="1:8">
      <c r="A29" s="42" t="s">
        <v>115</v>
      </c>
      <c r="B29" s="43"/>
      <c r="C29" s="47" t="s">
        <v>116</v>
      </c>
      <c r="D29" s="45"/>
      <c r="E29" s="47"/>
      <c r="F29" s="47"/>
      <c r="G29" s="47"/>
      <c r="H29" s="55"/>
    </row>
    <row r="30" ht="16.35" customHeight="1" spans="1:8">
      <c r="A30" s="42" t="s">
        <v>117</v>
      </c>
      <c r="B30" s="43"/>
      <c r="C30" s="47" t="s">
        <v>118</v>
      </c>
      <c r="D30" s="45"/>
      <c r="E30" s="47"/>
      <c r="F30" s="47"/>
      <c r="G30" s="47"/>
      <c r="H30" s="55"/>
    </row>
    <row r="31" ht="16.35" customHeight="1" spans="1:8">
      <c r="A31" s="42" t="s">
        <v>119</v>
      </c>
      <c r="B31" s="43"/>
      <c r="C31" s="47" t="s">
        <v>120</v>
      </c>
      <c r="D31" s="45"/>
      <c r="E31" s="47"/>
      <c r="F31" s="47"/>
      <c r="G31" s="47"/>
      <c r="H31" s="55"/>
    </row>
    <row r="32" ht="16.35" customHeight="1" spans="1:8">
      <c r="A32" s="42" t="s">
        <v>121</v>
      </c>
      <c r="B32" s="43"/>
      <c r="C32" s="47" t="s">
        <v>122</v>
      </c>
      <c r="D32" s="45"/>
      <c r="E32" s="47"/>
      <c r="F32" s="47"/>
      <c r="G32" s="47"/>
      <c r="H32" s="55"/>
    </row>
    <row r="33" ht="16.35" customHeight="1" spans="1:8">
      <c r="A33" s="47"/>
      <c r="B33" s="47"/>
      <c r="C33" s="47" t="s">
        <v>123</v>
      </c>
      <c r="D33" s="45"/>
      <c r="E33" s="47"/>
      <c r="F33" s="47"/>
      <c r="G33" s="47"/>
      <c r="H33" s="47"/>
    </row>
    <row r="34" ht="16.35" customHeight="1" spans="1:8">
      <c r="A34" s="47"/>
      <c r="B34" s="47"/>
      <c r="C34" s="47" t="s">
        <v>124</v>
      </c>
      <c r="D34" s="45"/>
      <c r="E34" s="47"/>
      <c r="F34" s="47"/>
      <c r="G34" s="47"/>
      <c r="H34" s="47"/>
    </row>
    <row r="35" ht="16.35" customHeight="1" spans="1:8">
      <c r="A35" s="47"/>
      <c r="B35" s="47"/>
      <c r="C35" s="47" t="s">
        <v>125</v>
      </c>
      <c r="D35" s="45"/>
      <c r="E35" s="47"/>
      <c r="F35" s="47"/>
      <c r="G35" s="47"/>
      <c r="H35" s="47"/>
    </row>
    <row r="36" ht="16.35" customHeight="1" spans="1:8">
      <c r="A36" s="47"/>
      <c r="B36" s="47"/>
      <c r="C36" s="47"/>
      <c r="D36" s="47"/>
      <c r="E36" s="47"/>
      <c r="F36" s="47"/>
      <c r="G36" s="47"/>
      <c r="H36" s="47"/>
    </row>
    <row r="37" ht="16.35" customHeight="1" spans="1:8">
      <c r="A37" s="42" t="s">
        <v>126</v>
      </c>
      <c r="B37" s="43">
        <f>B6</f>
        <v>75.99638</v>
      </c>
      <c r="C37" s="42" t="s">
        <v>127</v>
      </c>
      <c r="D37" s="43">
        <f>D13+D15</f>
        <v>75.99638</v>
      </c>
      <c r="E37" s="42" t="s">
        <v>127</v>
      </c>
      <c r="F37" s="43">
        <f>F6+F10</f>
        <v>75.99638</v>
      </c>
      <c r="G37" s="42" t="s">
        <v>127</v>
      </c>
      <c r="H37" s="43">
        <f>H6+H7</f>
        <v>75.99638</v>
      </c>
    </row>
    <row r="38" ht="16.35" customHeight="1" spans="1:8">
      <c r="A38" s="42" t="s">
        <v>128</v>
      </c>
      <c r="B38" s="43"/>
      <c r="C38" s="42" t="s">
        <v>129</v>
      </c>
      <c r="D38" s="43"/>
      <c r="E38" s="42" t="s">
        <v>129</v>
      </c>
      <c r="F38" s="43"/>
      <c r="G38" s="42" t="s">
        <v>129</v>
      </c>
      <c r="H38" s="43"/>
    </row>
    <row r="39" ht="16.35" customHeight="1" spans="1:8">
      <c r="A39" s="47"/>
      <c r="B39" s="55"/>
      <c r="C39" s="47"/>
      <c r="D39" s="55"/>
      <c r="E39" s="42"/>
      <c r="F39" s="43"/>
      <c r="G39" s="42"/>
      <c r="H39" s="43"/>
    </row>
    <row r="40" ht="16.35" customHeight="1" spans="1:8">
      <c r="A40" s="42" t="s">
        <v>130</v>
      </c>
      <c r="B40" s="43">
        <f>B37</f>
        <v>75.99638</v>
      </c>
      <c r="C40" s="42" t="s">
        <v>131</v>
      </c>
      <c r="D40" s="43">
        <f>D37</f>
        <v>75.99638</v>
      </c>
      <c r="E40" s="42" t="s">
        <v>131</v>
      </c>
      <c r="F40" s="43">
        <f>F37</f>
        <v>75.99638</v>
      </c>
      <c r="G40" s="42" t="s">
        <v>131</v>
      </c>
      <c r="H40" s="43">
        <f>H37</f>
        <v>75.99638</v>
      </c>
    </row>
    <row r="42" spans="1:1">
      <c r="A42" s="35" t="s">
        <v>132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A1" sqref="$A1:$XFD1048576"/>
    </sheetView>
  </sheetViews>
  <sheetFormatPr defaultColWidth="10" defaultRowHeight="13.5"/>
  <cols>
    <col min="1" max="1" width="5.88333333333333" style="35" customWidth="1"/>
    <col min="2" max="2" width="16.1333333333333" style="35" customWidth="1"/>
    <col min="3" max="3" width="8.25" style="35" customWidth="1"/>
    <col min="4" max="25" width="7.75" style="35" customWidth="1"/>
    <col min="26" max="26" width="9.75" style="35" customWidth="1"/>
    <col min="27" max="16384" width="10" style="35"/>
  </cols>
  <sheetData>
    <row r="1" ht="16.35" customHeight="1" spans="1:25">
      <c r="A1" s="36"/>
      <c r="X1" s="37" t="s">
        <v>133</v>
      </c>
      <c r="Y1" s="37"/>
    </row>
    <row r="2" ht="33.6" customHeight="1" spans="1:25">
      <c r="A2" s="38" t="s">
        <v>7</v>
      </c>
      <c r="B2" s="38"/>
      <c r="C2" s="38"/>
      <c r="D2" s="38"/>
      <c r="E2" s="38"/>
      <c r="F2" s="38"/>
      <c r="G2" s="38"/>
      <c r="H2" s="38"/>
      <c r="I2" s="38"/>
      <c r="J2" s="38"/>
      <c r="K2" s="38"/>
      <c r="L2" s="38"/>
      <c r="M2" s="38"/>
      <c r="N2" s="38"/>
      <c r="O2" s="38"/>
      <c r="P2" s="38"/>
      <c r="Q2" s="38"/>
      <c r="R2" s="38"/>
      <c r="S2" s="38"/>
      <c r="T2" s="38"/>
      <c r="U2" s="38"/>
      <c r="V2" s="38"/>
      <c r="W2" s="38"/>
      <c r="X2" s="38"/>
      <c r="Y2" s="38"/>
    </row>
    <row r="3" ht="22.35" customHeight="1" spans="1:25">
      <c r="A3" s="39" t="str">
        <f>"部门"&amp;":"&amp;封面!E4&amp;封面!E5</f>
        <v>部门:405022益阳市赫山区新市渡镇卫生院</v>
      </c>
      <c r="B3" s="39"/>
      <c r="C3" s="39"/>
      <c r="D3" s="39"/>
      <c r="E3" s="39"/>
      <c r="F3" s="39"/>
      <c r="G3" s="39"/>
      <c r="H3" s="39"/>
      <c r="I3" s="39"/>
      <c r="J3" s="39"/>
      <c r="K3" s="39"/>
      <c r="L3" s="39"/>
      <c r="M3" s="39"/>
      <c r="N3" s="39"/>
      <c r="O3" s="39"/>
      <c r="P3" s="39"/>
      <c r="Q3" s="39"/>
      <c r="R3" s="39"/>
      <c r="S3" s="39"/>
      <c r="T3" s="39"/>
      <c r="U3" s="39"/>
      <c r="V3" s="39"/>
      <c r="W3" s="39"/>
      <c r="X3" s="40" t="s">
        <v>31</v>
      </c>
      <c r="Y3" s="40"/>
    </row>
    <row r="4" ht="22.35" customHeight="1" spans="1:25">
      <c r="A4" s="46" t="s">
        <v>134</v>
      </c>
      <c r="B4" s="46" t="s">
        <v>135</v>
      </c>
      <c r="C4" s="46" t="s">
        <v>136</v>
      </c>
      <c r="D4" s="46" t="s">
        <v>137</v>
      </c>
      <c r="E4" s="46"/>
      <c r="F4" s="46"/>
      <c r="G4" s="46"/>
      <c r="H4" s="46"/>
      <c r="I4" s="46"/>
      <c r="J4" s="46"/>
      <c r="K4" s="46"/>
      <c r="L4" s="46"/>
      <c r="M4" s="46"/>
      <c r="N4" s="46"/>
      <c r="O4" s="46"/>
      <c r="P4" s="46"/>
      <c r="Q4" s="46"/>
      <c r="R4" s="46"/>
      <c r="S4" s="46" t="s">
        <v>128</v>
      </c>
      <c r="T4" s="46"/>
      <c r="U4" s="46"/>
      <c r="V4" s="46"/>
      <c r="W4" s="46"/>
      <c r="X4" s="46"/>
      <c r="Y4" s="46"/>
    </row>
    <row r="5" ht="22.35" customHeight="1" spans="1:25">
      <c r="A5" s="46"/>
      <c r="B5" s="46"/>
      <c r="C5" s="46"/>
      <c r="D5" s="46" t="s">
        <v>138</v>
      </c>
      <c r="E5" s="46" t="s">
        <v>139</v>
      </c>
      <c r="F5" s="46" t="s">
        <v>140</v>
      </c>
      <c r="G5" s="46" t="s">
        <v>141</v>
      </c>
      <c r="H5" s="46" t="s">
        <v>142</v>
      </c>
      <c r="I5" s="46" t="s">
        <v>143</v>
      </c>
      <c r="J5" s="46" t="s">
        <v>144</v>
      </c>
      <c r="K5" s="46"/>
      <c r="L5" s="46"/>
      <c r="M5" s="46"/>
      <c r="N5" s="46" t="s">
        <v>145</v>
      </c>
      <c r="O5" s="46" t="s">
        <v>146</v>
      </c>
      <c r="P5" s="46" t="s">
        <v>147</v>
      </c>
      <c r="Q5" s="46" t="s">
        <v>148</v>
      </c>
      <c r="R5" s="46" t="s">
        <v>149</v>
      </c>
      <c r="S5" s="46" t="s">
        <v>138</v>
      </c>
      <c r="T5" s="46" t="s">
        <v>139</v>
      </c>
      <c r="U5" s="46" t="s">
        <v>140</v>
      </c>
      <c r="V5" s="46" t="s">
        <v>141</v>
      </c>
      <c r="W5" s="46" t="s">
        <v>142</v>
      </c>
      <c r="X5" s="46" t="s">
        <v>143</v>
      </c>
      <c r="Y5" s="46" t="s">
        <v>150</v>
      </c>
    </row>
    <row r="6" ht="22.35" customHeight="1" spans="1:25">
      <c r="A6" s="46"/>
      <c r="B6" s="46"/>
      <c r="C6" s="46"/>
      <c r="D6" s="46"/>
      <c r="E6" s="46"/>
      <c r="F6" s="46"/>
      <c r="G6" s="46"/>
      <c r="H6" s="46"/>
      <c r="I6" s="46"/>
      <c r="J6" s="46" t="s">
        <v>151</v>
      </c>
      <c r="K6" s="46" t="s">
        <v>152</v>
      </c>
      <c r="L6" s="46" t="s">
        <v>153</v>
      </c>
      <c r="M6" s="46" t="s">
        <v>142</v>
      </c>
      <c r="N6" s="46"/>
      <c r="O6" s="46"/>
      <c r="P6" s="46"/>
      <c r="Q6" s="46"/>
      <c r="R6" s="46"/>
      <c r="S6" s="46"/>
      <c r="T6" s="46"/>
      <c r="U6" s="46"/>
      <c r="V6" s="46"/>
      <c r="W6" s="46"/>
      <c r="X6" s="46"/>
      <c r="Y6" s="46"/>
    </row>
    <row r="7" ht="22.9" customHeight="1" spans="1:25">
      <c r="A7" s="42"/>
      <c r="B7" s="42" t="s">
        <v>136</v>
      </c>
      <c r="C7" s="48">
        <f>'1收支总表'!B6</f>
        <v>75.99638</v>
      </c>
      <c r="D7" s="48">
        <f>C7</f>
        <v>75.99638</v>
      </c>
      <c r="E7" s="48">
        <f>C7</f>
        <v>75.99638</v>
      </c>
      <c r="F7" s="48"/>
      <c r="G7" s="48"/>
      <c r="H7" s="48"/>
      <c r="I7" s="48"/>
      <c r="J7" s="48"/>
      <c r="K7" s="48"/>
      <c r="L7" s="48"/>
      <c r="M7" s="48"/>
      <c r="N7" s="48"/>
      <c r="O7" s="48"/>
      <c r="P7" s="48"/>
      <c r="Q7" s="48"/>
      <c r="R7" s="48"/>
      <c r="S7" s="48"/>
      <c r="T7" s="48"/>
      <c r="U7" s="48"/>
      <c r="V7" s="48"/>
      <c r="W7" s="48"/>
      <c r="X7" s="48"/>
      <c r="Y7" s="48"/>
    </row>
    <row r="8" ht="22.9" customHeight="1" spans="1:25">
      <c r="A8" s="44" t="s">
        <v>154</v>
      </c>
      <c r="B8" s="44" t="s">
        <v>155</v>
      </c>
      <c r="C8" s="48">
        <f>C7</f>
        <v>75.99638</v>
      </c>
      <c r="D8" s="48">
        <f>D7</f>
        <v>75.99638</v>
      </c>
      <c r="E8" s="48">
        <f>C8</f>
        <v>75.99638</v>
      </c>
      <c r="F8" s="48"/>
      <c r="G8" s="48"/>
      <c r="H8" s="48"/>
      <c r="I8" s="48"/>
      <c r="J8" s="48"/>
      <c r="K8" s="48"/>
      <c r="L8" s="48"/>
      <c r="M8" s="48"/>
      <c r="N8" s="48"/>
      <c r="O8" s="48"/>
      <c r="P8" s="48"/>
      <c r="Q8" s="48"/>
      <c r="R8" s="48"/>
      <c r="S8" s="48"/>
      <c r="T8" s="48"/>
      <c r="U8" s="48"/>
      <c r="V8" s="48"/>
      <c r="W8" s="48"/>
      <c r="X8" s="48"/>
      <c r="Y8" s="48"/>
    </row>
    <row r="9" ht="22.9" customHeight="1" spans="1:25">
      <c r="A9" s="50">
        <f>封面!E4</f>
        <v>405022</v>
      </c>
      <c r="B9" s="50" t="str">
        <f>封面!E5</f>
        <v>益阳市赫山区新市渡镇卫生院</v>
      </c>
      <c r="C9" s="48">
        <f>C8</f>
        <v>75.99638</v>
      </c>
      <c r="D9" s="48">
        <f>D8</f>
        <v>75.99638</v>
      </c>
      <c r="E9" s="48">
        <f>C9</f>
        <v>75.99638</v>
      </c>
      <c r="F9" s="55"/>
      <c r="G9" s="55"/>
      <c r="H9" s="55"/>
      <c r="I9" s="55"/>
      <c r="J9" s="55"/>
      <c r="K9" s="55"/>
      <c r="L9" s="55"/>
      <c r="M9" s="55"/>
      <c r="N9" s="55"/>
      <c r="O9" s="55"/>
      <c r="P9" s="55"/>
      <c r="Q9" s="55"/>
      <c r="R9" s="55"/>
      <c r="S9" s="55"/>
      <c r="T9" s="55"/>
      <c r="U9" s="55"/>
      <c r="V9" s="55"/>
      <c r="W9" s="55"/>
      <c r="X9" s="55"/>
      <c r="Y9" s="55"/>
    </row>
    <row r="10" ht="16.35" customHeight="1"/>
    <row r="11" ht="16.35" customHeight="1" spans="7:7">
      <c r="G11" s="3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opLeftCell="A4" workbookViewId="0">
      <selection activeCell="G20" sqref="G20:I21"/>
    </sheetView>
  </sheetViews>
  <sheetFormatPr defaultColWidth="10" defaultRowHeight="13.5"/>
  <cols>
    <col min="1" max="1" width="4.63333333333333" style="35" customWidth="1"/>
    <col min="2" max="2" width="4.88333333333333" style="35" customWidth="1"/>
    <col min="3" max="3" width="5" style="35" customWidth="1"/>
    <col min="4" max="4" width="12" style="35" customWidth="1"/>
    <col min="5" max="5" width="26.75" style="35" customWidth="1"/>
    <col min="6" max="6" width="15" style="35" customWidth="1"/>
    <col min="7" max="7" width="11.3833333333333" style="35" customWidth="1"/>
    <col min="8" max="8" width="14" style="35" customWidth="1"/>
    <col min="9" max="9" width="14.75" style="35" customWidth="1"/>
    <col min="10" max="11" width="17.5" style="35" customWidth="1"/>
    <col min="12" max="12" width="9.75" style="35" customWidth="1"/>
    <col min="13" max="16384" width="10" style="35"/>
  </cols>
  <sheetData>
    <row r="1" ht="16.35" customHeight="1" spans="1:11">
      <c r="A1" s="36"/>
      <c r="D1" s="92"/>
      <c r="K1" s="37" t="s">
        <v>156</v>
      </c>
    </row>
    <row r="2" ht="31.9" customHeight="1" spans="1:11">
      <c r="A2" s="38" t="s">
        <v>8</v>
      </c>
      <c r="B2" s="38"/>
      <c r="C2" s="38"/>
      <c r="D2" s="38"/>
      <c r="E2" s="38"/>
      <c r="F2" s="38"/>
      <c r="G2" s="38"/>
      <c r="H2" s="38"/>
      <c r="I2" s="38"/>
      <c r="J2" s="38"/>
      <c r="K2" s="38"/>
    </row>
    <row r="3" ht="24.95" customHeight="1" spans="1:11">
      <c r="A3" s="93" t="str">
        <f>"部门"&amp;":"&amp;封面!E4&amp;封面!E5</f>
        <v>部门:405022益阳市赫山区新市渡镇卫生院</v>
      </c>
      <c r="B3" s="93"/>
      <c r="C3" s="93"/>
      <c r="D3" s="93"/>
      <c r="E3" s="93"/>
      <c r="F3" s="93"/>
      <c r="G3" s="93"/>
      <c r="H3" s="93"/>
      <c r="I3" s="93"/>
      <c r="J3" s="93"/>
      <c r="K3" s="40" t="s">
        <v>31</v>
      </c>
    </row>
    <row r="4" ht="27.6" customHeight="1" spans="1:11">
      <c r="A4" s="41" t="s">
        <v>157</v>
      </c>
      <c r="B4" s="41"/>
      <c r="C4" s="41"/>
      <c r="D4" s="41" t="s">
        <v>158</v>
      </c>
      <c r="E4" s="41" t="s">
        <v>159</v>
      </c>
      <c r="F4" s="41" t="s">
        <v>136</v>
      </c>
      <c r="G4" s="41" t="s">
        <v>160</v>
      </c>
      <c r="H4" s="41" t="s">
        <v>161</v>
      </c>
      <c r="I4" s="41" t="s">
        <v>162</v>
      </c>
      <c r="J4" s="41" t="s">
        <v>163</v>
      </c>
      <c r="K4" s="41" t="s">
        <v>164</v>
      </c>
    </row>
    <row r="5" ht="25.9" customHeight="1" spans="1:11">
      <c r="A5" s="41" t="s">
        <v>165</v>
      </c>
      <c r="B5" s="41" t="s">
        <v>166</v>
      </c>
      <c r="C5" s="41" t="s">
        <v>167</v>
      </c>
      <c r="D5" s="41"/>
      <c r="E5" s="41"/>
      <c r="F5" s="41"/>
      <c r="G5" s="41"/>
      <c r="H5" s="41"/>
      <c r="I5" s="41"/>
      <c r="J5" s="41"/>
      <c r="K5" s="41"/>
    </row>
    <row r="6" ht="22.9" customHeight="1" spans="1:11">
      <c r="A6" s="12"/>
      <c r="B6" s="12"/>
      <c r="C6" s="12"/>
      <c r="D6" s="94" t="s">
        <v>136</v>
      </c>
      <c r="E6" s="94"/>
      <c r="F6" s="95">
        <f>'1收支总表'!B6</f>
        <v>75.99638</v>
      </c>
      <c r="G6" s="95">
        <f>'1收支总表'!F6</f>
        <v>62.99638</v>
      </c>
      <c r="H6" s="95">
        <f>'1收支总表'!F10</f>
        <v>13</v>
      </c>
      <c r="I6" s="95"/>
      <c r="J6" s="94"/>
      <c r="K6" s="94"/>
    </row>
    <row r="7" ht="22.9" customHeight="1" spans="1:11">
      <c r="A7" s="96"/>
      <c r="B7" s="96"/>
      <c r="C7" s="96"/>
      <c r="D7" s="97" t="s">
        <v>154</v>
      </c>
      <c r="E7" s="97" t="s">
        <v>155</v>
      </c>
      <c r="F7" s="95">
        <f>F6</f>
        <v>75.99638</v>
      </c>
      <c r="G7" s="95">
        <f>G6</f>
        <v>62.99638</v>
      </c>
      <c r="H7" s="95">
        <f>H6</f>
        <v>13</v>
      </c>
      <c r="I7" s="95"/>
      <c r="J7" s="94"/>
      <c r="K7" s="94"/>
    </row>
    <row r="8" ht="22.9" customHeight="1" spans="1:11">
      <c r="A8" s="96"/>
      <c r="B8" s="96"/>
      <c r="C8" s="96"/>
      <c r="D8" s="97">
        <f>封面!E4</f>
        <v>405022</v>
      </c>
      <c r="E8" s="97" t="str">
        <f>封面!E5</f>
        <v>益阳市赫山区新市渡镇卫生院</v>
      </c>
      <c r="F8" s="95">
        <f>F6</f>
        <v>75.99638</v>
      </c>
      <c r="G8" s="95">
        <f>G6</f>
        <v>62.99638</v>
      </c>
      <c r="H8" s="95">
        <f>H6</f>
        <v>13</v>
      </c>
      <c r="I8" s="95"/>
      <c r="J8" s="94"/>
      <c r="K8" s="94"/>
    </row>
    <row r="9" ht="22.9" customHeight="1" spans="1:11">
      <c r="A9" s="98" t="s">
        <v>168</v>
      </c>
      <c r="B9" s="98" t="s">
        <v>169</v>
      </c>
      <c r="C9" s="98" t="s">
        <v>169</v>
      </c>
      <c r="D9" s="99" t="s">
        <v>170</v>
      </c>
      <c r="E9" s="96" t="s">
        <v>171</v>
      </c>
      <c r="F9" s="100">
        <f>G9</f>
        <v>7.3364</v>
      </c>
      <c r="G9" s="45">
        <f>VLOOKUP(封面!$E$5,[1]一般预算拨款!$A$7:$I$32,8,0)</f>
        <v>7.3364</v>
      </c>
      <c r="H9" s="100"/>
      <c r="I9" s="100"/>
      <c r="J9" s="96"/>
      <c r="K9" s="96"/>
    </row>
    <row r="10" ht="22.9" customHeight="1" spans="1:11">
      <c r="A10" s="98" t="s">
        <v>172</v>
      </c>
      <c r="B10" s="98" t="s">
        <v>173</v>
      </c>
      <c r="C10" s="98" t="s">
        <v>173</v>
      </c>
      <c r="D10" s="99" t="s">
        <v>174</v>
      </c>
      <c r="E10" s="96" t="s">
        <v>175</v>
      </c>
      <c r="F10" s="100">
        <f>G10</f>
        <v>51.641</v>
      </c>
      <c r="G10" s="100">
        <f>G8-G9-G17</f>
        <v>51.641</v>
      </c>
      <c r="H10" s="100"/>
      <c r="I10" s="100"/>
      <c r="J10" s="96"/>
      <c r="K10" s="96"/>
    </row>
    <row r="11" ht="22.9" customHeight="1" spans="1:11">
      <c r="A11" s="98" t="s">
        <v>172</v>
      </c>
      <c r="B11" s="98" t="s">
        <v>176</v>
      </c>
      <c r="C11" s="98" t="s">
        <v>177</v>
      </c>
      <c r="D11" s="99" t="s">
        <v>178</v>
      </c>
      <c r="E11" s="96" t="s">
        <v>179</v>
      </c>
      <c r="F11" s="100">
        <f>G11+H11</f>
        <v>13</v>
      </c>
      <c r="G11" s="100"/>
      <c r="H11" s="100">
        <f>H8</f>
        <v>13</v>
      </c>
      <c r="I11" s="100"/>
      <c r="J11" s="96"/>
      <c r="K11" s="96"/>
    </row>
    <row r="12" ht="22.9" customHeight="1" spans="1:11">
      <c r="A12" s="98" t="s">
        <v>172</v>
      </c>
      <c r="B12" s="98" t="s">
        <v>180</v>
      </c>
      <c r="C12" s="98" t="s">
        <v>173</v>
      </c>
      <c r="D12" s="99" t="s">
        <v>181</v>
      </c>
      <c r="E12" s="96" t="s">
        <v>182</v>
      </c>
      <c r="F12" s="100"/>
      <c r="G12" s="100"/>
      <c r="H12" s="100"/>
      <c r="I12" s="100"/>
      <c r="J12" s="96"/>
      <c r="K12" s="96"/>
    </row>
    <row r="13" ht="22.9" customHeight="1" spans="1:11">
      <c r="A13" s="98" t="s">
        <v>172</v>
      </c>
      <c r="B13" s="98" t="s">
        <v>180</v>
      </c>
      <c r="C13" s="98" t="s">
        <v>176</v>
      </c>
      <c r="D13" s="99" t="s">
        <v>183</v>
      </c>
      <c r="E13" s="96" t="s">
        <v>184</v>
      </c>
      <c r="F13" s="100"/>
      <c r="G13" s="100"/>
      <c r="H13" s="100"/>
      <c r="I13" s="100"/>
      <c r="J13" s="96"/>
      <c r="K13" s="96"/>
    </row>
    <row r="14" ht="22.9" customHeight="1" spans="1:11">
      <c r="A14" s="98" t="s">
        <v>172</v>
      </c>
      <c r="B14" s="98" t="s">
        <v>180</v>
      </c>
      <c r="C14" s="98" t="s">
        <v>180</v>
      </c>
      <c r="D14" s="99" t="s">
        <v>185</v>
      </c>
      <c r="E14" s="96" t="s">
        <v>186</v>
      </c>
      <c r="F14" s="100"/>
      <c r="G14" s="100"/>
      <c r="H14" s="100"/>
      <c r="I14" s="100"/>
      <c r="J14" s="96"/>
      <c r="K14" s="96"/>
    </row>
    <row r="15" ht="22.9" customHeight="1" spans="1:11">
      <c r="A15" s="98" t="s">
        <v>172</v>
      </c>
      <c r="B15" s="98" t="s">
        <v>187</v>
      </c>
      <c r="C15" s="98" t="s">
        <v>188</v>
      </c>
      <c r="D15" s="99" t="s">
        <v>189</v>
      </c>
      <c r="E15" s="96" t="s">
        <v>190</v>
      </c>
      <c r="F15" s="100"/>
      <c r="G15" s="100"/>
      <c r="H15" s="100"/>
      <c r="I15" s="100"/>
      <c r="J15" s="96"/>
      <c r="K15" s="96"/>
    </row>
    <row r="16" ht="22.9" customHeight="1" spans="1:11">
      <c r="A16" s="98" t="s">
        <v>172</v>
      </c>
      <c r="B16" s="98" t="s">
        <v>187</v>
      </c>
      <c r="C16" s="98" t="s">
        <v>191</v>
      </c>
      <c r="D16" s="99" t="s">
        <v>192</v>
      </c>
      <c r="E16" s="96" t="s">
        <v>193</v>
      </c>
      <c r="F16" s="100"/>
      <c r="G16" s="100"/>
      <c r="H16" s="100"/>
      <c r="I16" s="100"/>
      <c r="J16" s="96"/>
      <c r="K16" s="96"/>
    </row>
    <row r="17" ht="22.9" customHeight="1" spans="1:11">
      <c r="A17" s="98" t="s">
        <v>172</v>
      </c>
      <c r="B17" s="98" t="s">
        <v>194</v>
      </c>
      <c r="C17" s="98" t="s">
        <v>173</v>
      </c>
      <c r="D17" s="99" t="s">
        <v>195</v>
      </c>
      <c r="E17" s="96" t="s">
        <v>196</v>
      </c>
      <c r="F17" s="100">
        <f>G17</f>
        <v>4.01898</v>
      </c>
      <c r="G17" s="45">
        <f>VLOOKUP(封面!$E$5,[1]一般预算拨款!$A$7:$I$32,7,0)</f>
        <v>4.01898</v>
      </c>
      <c r="H17" s="100"/>
      <c r="I17" s="100"/>
      <c r="J17" s="96"/>
      <c r="K17" s="96"/>
    </row>
    <row r="18" ht="16.35" customHeight="1"/>
    <row r="20" spans="6:8">
      <c r="F20" s="101"/>
      <c r="G20" s="101"/>
      <c r="H20" s="101"/>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138" zoomScaleNormal="138" topLeftCell="D7" workbookViewId="0">
      <selection activeCell="F20" sqref="F20:R21"/>
    </sheetView>
  </sheetViews>
  <sheetFormatPr defaultColWidth="10" defaultRowHeight="13.5"/>
  <cols>
    <col min="1" max="1" width="3.63333333333333" style="35" customWidth="1"/>
    <col min="2" max="2" width="4.75" style="35" customWidth="1"/>
    <col min="3" max="3" width="4.63333333333333" style="35" customWidth="1"/>
    <col min="4" max="4" width="7.38333333333333" style="35" customWidth="1"/>
    <col min="5" max="5" width="20.1333333333333" style="35" customWidth="1"/>
    <col min="6" max="6" width="9.25" style="35" customWidth="1"/>
    <col min="7" max="7" width="7.75" style="35" customWidth="1"/>
    <col min="8" max="12" width="7.13333333333333" style="35" customWidth="1"/>
    <col min="13" max="13" width="6.75" style="35" customWidth="1"/>
    <col min="14" max="17" width="7.13333333333333" style="35" customWidth="1"/>
    <col min="18" max="18" width="7" style="35" customWidth="1"/>
    <col min="19" max="20" width="7.13333333333333" style="35" customWidth="1"/>
    <col min="21" max="22" width="9.75" style="35" customWidth="1"/>
    <col min="23" max="16384" width="10" style="35"/>
  </cols>
  <sheetData>
    <row r="1" ht="16.35" customHeight="1" spans="1:20">
      <c r="A1" s="36"/>
      <c r="S1" s="37" t="s">
        <v>197</v>
      </c>
      <c r="T1" s="37"/>
    </row>
    <row r="2" ht="42.2" customHeight="1" spans="1:20">
      <c r="A2" s="38" t="s">
        <v>9</v>
      </c>
      <c r="B2" s="38"/>
      <c r="C2" s="38"/>
      <c r="D2" s="38"/>
      <c r="E2" s="38"/>
      <c r="F2" s="38"/>
      <c r="G2" s="38"/>
      <c r="H2" s="38"/>
      <c r="I2" s="38"/>
      <c r="J2" s="38"/>
      <c r="K2" s="38"/>
      <c r="L2" s="38"/>
      <c r="M2" s="38"/>
      <c r="N2" s="38"/>
      <c r="O2" s="38"/>
      <c r="P2" s="38"/>
      <c r="Q2" s="38"/>
      <c r="R2" s="38"/>
      <c r="S2" s="38"/>
      <c r="T2" s="38"/>
    </row>
    <row r="3" ht="19.9" customHeight="1" spans="1:20">
      <c r="A3" s="39" t="str">
        <f>"部门"&amp;":"&amp;封面!E4&amp;封面!E5</f>
        <v>部门:405022益阳市赫山区新市渡镇卫生院</v>
      </c>
      <c r="B3" s="39"/>
      <c r="C3" s="39"/>
      <c r="D3" s="39"/>
      <c r="E3" s="39"/>
      <c r="F3" s="39"/>
      <c r="G3" s="39"/>
      <c r="H3" s="39"/>
      <c r="I3" s="39"/>
      <c r="J3" s="39"/>
      <c r="K3" s="39"/>
      <c r="L3" s="39"/>
      <c r="M3" s="39"/>
      <c r="N3" s="39"/>
      <c r="O3" s="39"/>
      <c r="P3" s="39"/>
      <c r="Q3" s="39"/>
      <c r="R3" s="39"/>
      <c r="S3" s="40" t="s">
        <v>31</v>
      </c>
      <c r="T3" s="40"/>
    </row>
    <row r="4" ht="19.9" customHeight="1" spans="1:20">
      <c r="A4" s="46" t="s">
        <v>157</v>
      </c>
      <c r="B4" s="46"/>
      <c r="C4" s="46"/>
      <c r="D4" s="46" t="s">
        <v>198</v>
      </c>
      <c r="E4" s="46" t="s">
        <v>199</v>
      </c>
      <c r="F4" s="46" t="s">
        <v>200</v>
      </c>
      <c r="G4" s="46" t="s">
        <v>201</v>
      </c>
      <c r="H4" s="46" t="s">
        <v>202</v>
      </c>
      <c r="I4" s="46" t="s">
        <v>203</v>
      </c>
      <c r="J4" s="46" t="s">
        <v>204</v>
      </c>
      <c r="K4" s="46" t="s">
        <v>205</v>
      </c>
      <c r="L4" s="46" t="s">
        <v>206</v>
      </c>
      <c r="M4" s="46" t="s">
        <v>207</v>
      </c>
      <c r="N4" s="46" t="s">
        <v>208</v>
      </c>
      <c r="O4" s="46" t="s">
        <v>209</v>
      </c>
      <c r="P4" s="46" t="s">
        <v>210</v>
      </c>
      <c r="Q4" s="46" t="s">
        <v>211</v>
      </c>
      <c r="R4" s="46" t="s">
        <v>212</v>
      </c>
      <c r="S4" s="46" t="s">
        <v>213</v>
      </c>
      <c r="T4" s="46" t="s">
        <v>214</v>
      </c>
    </row>
    <row r="5" ht="20.65" customHeight="1" spans="1:20">
      <c r="A5" s="46" t="s">
        <v>165</v>
      </c>
      <c r="B5" s="46" t="s">
        <v>166</v>
      </c>
      <c r="C5" s="46" t="s">
        <v>167</v>
      </c>
      <c r="D5" s="46"/>
      <c r="E5" s="46"/>
      <c r="F5" s="46"/>
      <c r="G5" s="46"/>
      <c r="H5" s="46"/>
      <c r="I5" s="46"/>
      <c r="J5" s="46"/>
      <c r="K5" s="46"/>
      <c r="L5" s="46"/>
      <c r="M5" s="46"/>
      <c r="N5" s="46"/>
      <c r="O5" s="46"/>
      <c r="P5" s="46"/>
      <c r="Q5" s="46"/>
      <c r="R5" s="46"/>
      <c r="S5" s="46"/>
      <c r="T5" s="46"/>
    </row>
    <row r="6" ht="22.9" customHeight="1" spans="1:20">
      <c r="A6" s="42"/>
      <c r="B6" s="42"/>
      <c r="C6" s="42"/>
      <c r="D6" s="42"/>
      <c r="E6" s="42" t="s">
        <v>136</v>
      </c>
      <c r="F6" s="43">
        <f>'1收支总表'!H37</f>
        <v>75.99638</v>
      </c>
      <c r="G6" s="43">
        <f>'1收支总表'!H6</f>
        <v>51.88118</v>
      </c>
      <c r="H6" s="43">
        <f>'1收支总表'!H7</f>
        <v>24.1152</v>
      </c>
      <c r="I6" s="43"/>
      <c r="J6" s="43"/>
      <c r="K6" s="43"/>
      <c r="L6" s="43"/>
      <c r="M6" s="43"/>
      <c r="N6" s="43"/>
      <c r="O6" s="43">
        <f>'1收支总表'!H14</f>
        <v>0</v>
      </c>
      <c r="P6" s="43"/>
      <c r="Q6" s="43"/>
      <c r="R6" s="43"/>
      <c r="S6" s="43"/>
      <c r="T6" s="43"/>
    </row>
    <row r="7" ht="22.9" customHeight="1" spans="1:20">
      <c r="A7" s="42"/>
      <c r="B7" s="42"/>
      <c r="C7" s="42"/>
      <c r="D7" s="44" t="s">
        <v>154</v>
      </c>
      <c r="E7" s="44" t="s">
        <v>155</v>
      </c>
      <c r="F7" s="43">
        <f t="shared" ref="F7:H8" si="0">F6</f>
        <v>75.99638</v>
      </c>
      <c r="G7" s="43">
        <f t="shared" si="0"/>
        <v>51.88118</v>
      </c>
      <c r="H7" s="43">
        <f t="shared" si="0"/>
        <v>24.1152</v>
      </c>
      <c r="I7" s="43"/>
      <c r="J7" s="43"/>
      <c r="K7" s="43"/>
      <c r="L7" s="43"/>
      <c r="M7" s="43"/>
      <c r="N7" s="43"/>
      <c r="O7" s="43">
        <f>O6</f>
        <v>0</v>
      </c>
      <c r="P7" s="43"/>
      <c r="Q7" s="43"/>
      <c r="R7" s="43"/>
      <c r="S7" s="43"/>
      <c r="T7" s="43"/>
    </row>
    <row r="8" ht="22.9" customHeight="1" spans="1:20">
      <c r="A8" s="42"/>
      <c r="B8" s="42"/>
      <c r="C8" s="42"/>
      <c r="D8" s="44">
        <f>封面!E4</f>
        <v>405022</v>
      </c>
      <c r="E8" s="44" t="str">
        <f>封面!E5</f>
        <v>益阳市赫山区新市渡镇卫生院</v>
      </c>
      <c r="F8" s="43">
        <f t="shared" si="0"/>
        <v>75.99638</v>
      </c>
      <c r="G8" s="43">
        <f t="shared" si="0"/>
        <v>51.88118</v>
      </c>
      <c r="H8" s="43">
        <f t="shared" si="0"/>
        <v>24.1152</v>
      </c>
      <c r="I8" s="43"/>
      <c r="J8" s="43"/>
      <c r="K8" s="43"/>
      <c r="L8" s="43"/>
      <c r="M8" s="43"/>
      <c r="N8" s="43"/>
      <c r="O8" s="43">
        <f>O7</f>
        <v>0</v>
      </c>
      <c r="P8" s="43"/>
      <c r="Q8" s="43"/>
      <c r="R8" s="43"/>
      <c r="S8" s="43"/>
      <c r="T8" s="43"/>
    </row>
    <row r="9" ht="22.9" customHeight="1" spans="1:20">
      <c r="A9" s="49" t="s">
        <v>172</v>
      </c>
      <c r="B9" s="49" t="s">
        <v>173</v>
      </c>
      <c r="C9" s="49" t="s">
        <v>173</v>
      </c>
      <c r="D9" s="50">
        <f>D8</f>
        <v>405022</v>
      </c>
      <c r="E9" s="47" t="s">
        <v>175</v>
      </c>
      <c r="F9" s="55">
        <f>'3支出总表'!F10</f>
        <v>51.641</v>
      </c>
      <c r="G9" s="55">
        <f>G8-G10-G11</f>
        <v>40.5258</v>
      </c>
      <c r="H9" s="43">
        <f>H8-H15</f>
        <v>11.1152</v>
      </c>
      <c r="I9" s="55"/>
      <c r="J9" s="55"/>
      <c r="K9" s="55"/>
      <c r="L9" s="55"/>
      <c r="M9" s="55"/>
      <c r="N9" s="55"/>
      <c r="O9" s="55"/>
      <c r="P9" s="55"/>
      <c r="Q9" s="55"/>
      <c r="R9" s="55"/>
      <c r="S9" s="55"/>
      <c r="T9" s="55"/>
    </row>
    <row r="10" ht="22.9" customHeight="1" spans="1:20">
      <c r="A10" s="49" t="s">
        <v>168</v>
      </c>
      <c r="B10" s="49" t="s">
        <v>169</v>
      </c>
      <c r="C10" s="49" t="s">
        <v>169</v>
      </c>
      <c r="D10" s="50">
        <f t="shared" ref="D10:D17" si="1">D9</f>
        <v>405022</v>
      </c>
      <c r="E10" s="47" t="s">
        <v>171</v>
      </c>
      <c r="F10" s="55">
        <f>G10</f>
        <v>7.3364</v>
      </c>
      <c r="G10" s="45">
        <f>VLOOKUP(封面!$E$5,[1]一般预算拨款!$A$7:$I$32,8,0)</f>
        <v>7.3364</v>
      </c>
      <c r="H10" s="55"/>
      <c r="I10" s="55"/>
      <c r="J10" s="55"/>
      <c r="K10" s="55"/>
      <c r="L10" s="55"/>
      <c r="M10" s="55"/>
      <c r="N10" s="55"/>
      <c r="O10" s="55"/>
      <c r="P10" s="55"/>
      <c r="Q10" s="55"/>
      <c r="R10" s="55"/>
      <c r="S10" s="55"/>
      <c r="T10" s="55"/>
    </row>
    <row r="11" ht="22.9" customHeight="1" spans="1:20">
      <c r="A11" s="49" t="s">
        <v>172</v>
      </c>
      <c r="B11" s="49" t="s">
        <v>194</v>
      </c>
      <c r="C11" s="49" t="s">
        <v>173</v>
      </c>
      <c r="D11" s="50">
        <f t="shared" si="1"/>
        <v>405022</v>
      </c>
      <c r="E11" s="47" t="s">
        <v>196</v>
      </c>
      <c r="F11" s="55">
        <f>G11</f>
        <v>4.01898</v>
      </c>
      <c r="G11" s="55">
        <f>'3支出总表'!G17</f>
        <v>4.01898</v>
      </c>
      <c r="H11" s="55"/>
      <c r="I11" s="55"/>
      <c r="J11" s="55"/>
      <c r="K11" s="55"/>
      <c r="L11" s="55"/>
      <c r="M11" s="55"/>
      <c r="N11" s="55"/>
      <c r="O11" s="55"/>
      <c r="P11" s="55"/>
      <c r="Q11" s="55"/>
      <c r="R11" s="55"/>
      <c r="S11" s="55"/>
      <c r="T11" s="55"/>
    </row>
    <row r="12" ht="22.9" customHeight="1" spans="1:20">
      <c r="A12" s="49" t="s">
        <v>172</v>
      </c>
      <c r="B12" s="49" t="s">
        <v>187</v>
      </c>
      <c r="C12" s="49" t="s">
        <v>188</v>
      </c>
      <c r="D12" s="50">
        <f t="shared" si="1"/>
        <v>405022</v>
      </c>
      <c r="E12" s="47" t="s">
        <v>190</v>
      </c>
      <c r="F12" s="55">
        <f t="shared" ref="F12:F16" si="2">G12</f>
        <v>0</v>
      </c>
      <c r="G12" s="55"/>
      <c r="H12" s="55"/>
      <c r="I12" s="55"/>
      <c r="J12" s="55"/>
      <c r="K12" s="55"/>
      <c r="L12" s="55"/>
      <c r="M12" s="55"/>
      <c r="N12" s="55"/>
      <c r="O12" s="55"/>
      <c r="P12" s="55"/>
      <c r="Q12" s="55"/>
      <c r="R12" s="55"/>
      <c r="S12" s="55"/>
      <c r="T12" s="55"/>
    </row>
    <row r="13" ht="22.9" customHeight="1" spans="1:20">
      <c r="A13" s="49" t="s">
        <v>172</v>
      </c>
      <c r="B13" s="49" t="s">
        <v>180</v>
      </c>
      <c r="C13" s="49" t="s">
        <v>173</v>
      </c>
      <c r="D13" s="50">
        <f t="shared" si="1"/>
        <v>405022</v>
      </c>
      <c r="E13" s="47" t="s">
        <v>182</v>
      </c>
      <c r="F13" s="55">
        <f t="shared" si="2"/>
        <v>0</v>
      </c>
      <c r="G13" s="55"/>
      <c r="H13" s="55"/>
      <c r="I13" s="55"/>
      <c r="J13" s="55"/>
      <c r="K13" s="55"/>
      <c r="L13" s="55"/>
      <c r="M13" s="55"/>
      <c r="N13" s="55"/>
      <c r="O13" s="55"/>
      <c r="P13" s="55"/>
      <c r="Q13" s="55"/>
      <c r="R13" s="55"/>
      <c r="S13" s="55"/>
      <c r="T13" s="55"/>
    </row>
    <row r="14" ht="22.9" customHeight="1" spans="1:20">
      <c r="A14" s="49" t="s">
        <v>172</v>
      </c>
      <c r="B14" s="49" t="s">
        <v>180</v>
      </c>
      <c r="C14" s="49" t="s">
        <v>176</v>
      </c>
      <c r="D14" s="50">
        <f t="shared" si="1"/>
        <v>405022</v>
      </c>
      <c r="E14" s="47" t="s">
        <v>184</v>
      </c>
      <c r="F14" s="55">
        <f t="shared" si="2"/>
        <v>0</v>
      </c>
      <c r="G14" s="55"/>
      <c r="H14" s="55"/>
      <c r="I14" s="55"/>
      <c r="J14" s="55"/>
      <c r="K14" s="55"/>
      <c r="L14" s="55"/>
      <c r="M14" s="55"/>
      <c r="N14" s="55"/>
      <c r="O14" s="55"/>
      <c r="P14" s="55"/>
      <c r="Q14" s="55"/>
      <c r="R14" s="55"/>
      <c r="S14" s="55"/>
      <c r="T14" s="55"/>
    </row>
    <row r="15" ht="22.9" customHeight="1" spans="1:20">
      <c r="A15" s="49" t="s">
        <v>172</v>
      </c>
      <c r="B15" s="49" t="s">
        <v>176</v>
      </c>
      <c r="C15" s="49" t="s">
        <v>177</v>
      </c>
      <c r="D15" s="50">
        <f t="shared" si="1"/>
        <v>405022</v>
      </c>
      <c r="E15" s="47" t="s">
        <v>179</v>
      </c>
      <c r="F15" s="55">
        <f>SUM(G15:T15)</f>
        <v>13</v>
      </c>
      <c r="G15" s="55"/>
      <c r="H15" s="55">
        <f>'5支出分类（部门预算）'!M8</f>
        <v>13</v>
      </c>
      <c r="I15" s="55"/>
      <c r="J15" s="55"/>
      <c r="K15" s="55"/>
      <c r="L15" s="55"/>
      <c r="M15" s="55"/>
      <c r="N15" s="55"/>
      <c r="O15" s="55"/>
      <c r="P15" s="55"/>
      <c r="Q15" s="55"/>
      <c r="R15" s="55"/>
      <c r="S15" s="55"/>
      <c r="T15" s="55"/>
    </row>
    <row r="16" ht="22.9" customHeight="1" spans="1:20">
      <c r="A16" s="49" t="s">
        <v>172</v>
      </c>
      <c r="B16" s="49" t="s">
        <v>187</v>
      </c>
      <c r="C16" s="49" t="s">
        <v>191</v>
      </c>
      <c r="D16" s="50">
        <f t="shared" si="1"/>
        <v>405022</v>
      </c>
      <c r="E16" s="47" t="s">
        <v>193</v>
      </c>
      <c r="F16" s="55">
        <f t="shared" si="2"/>
        <v>0</v>
      </c>
      <c r="G16" s="55"/>
      <c r="H16" s="55"/>
      <c r="I16" s="55"/>
      <c r="J16" s="55"/>
      <c r="K16" s="55"/>
      <c r="L16" s="55"/>
      <c r="M16" s="55"/>
      <c r="N16" s="55"/>
      <c r="O16" s="55"/>
      <c r="P16" s="55"/>
      <c r="Q16" s="55"/>
      <c r="R16" s="55"/>
      <c r="S16" s="55"/>
      <c r="T16" s="55"/>
    </row>
    <row r="17" ht="22.9" customHeight="1" spans="1:20">
      <c r="A17" s="49" t="s">
        <v>172</v>
      </c>
      <c r="B17" s="49" t="s">
        <v>180</v>
      </c>
      <c r="C17" s="49" t="s">
        <v>180</v>
      </c>
      <c r="D17" s="50">
        <f t="shared" si="1"/>
        <v>405022</v>
      </c>
      <c r="E17" s="47" t="s">
        <v>186</v>
      </c>
      <c r="F17" s="55"/>
      <c r="G17" s="55"/>
      <c r="H17" s="55"/>
      <c r="I17" s="55"/>
      <c r="J17" s="55"/>
      <c r="K17" s="55"/>
      <c r="L17" s="55"/>
      <c r="M17" s="55"/>
      <c r="N17" s="55"/>
      <c r="O17" s="55"/>
      <c r="P17" s="55"/>
      <c r="Q17" s="55"/>
      <c r="R17" s="55"/>
      <c r="S17" s="55"/>
      <c r="T17" s="55"/>
    </row>
    <row r="20" spans="6:15">
      <c r="F20" s="60"/>
      <c r="G20" s="60"/>
      <c r="H20" s="60"/>
      <c r="I20" s="60"/>
      <c r="J20" s="60"/>
      <c r="K20" s="60"/>
      <c r="L20" s="60"/>
      <c r="M20" s="60"/>
      <c r="N20" s="60"/>
      <c r="O20" s="6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20" zoomScaleNormal="120" topLeftCell="B7" workbookViewId="0">
      <selection activeCell="V10" sqref="V10"/>
    </sheetView>
  </sheetViews>
  <sheetFormatPr defaultColWidth="10" defaultRowHeight="13.5"/>
  <cols>
    <col min="1" max="2" width="4.13333333333333" style="35" customWidth="1"/>
    <col min="3" max="3" width="4.25" style="35" customWidth="1"/>
    <col min="4" max="4" width="6.13333333333333" style="35" customWidth="1"/>
    <col min="5" max="5" width="15.8833333333333" style="35" customWidth="1"/>
    <col min="6" max="6" width="9" style="35" customWidth="1"/>
    <col min="7" max="7" width="7.75" style="35" customWidth="1"/>
    <col min="8" max="8" width="6.75" style="35" customWidth="1"/>
    <col min="9" max="16" width="7.13333333333333" style="35" customWidth="1"/>
    <col min="17" max="17" width="5.88333333333333" style="35" customWidth="1"/>
    <col min="18" max="21" width="7.13333333333333" style="35" customWidth="1"/>
    <col min="22" max="23" width="9.75" style="35" customWidth="1"/>
    <col min="24" max="16384" width="10" style="35"/>
  </cols>
  <sheetData>
    <row r="1" ht="16.35" customHeight="1" spans="1:21">
      <c r="A1" s="36"/>
      <c r="T1" s="37" t="s">
        <v>215</v>
      </c>
      <c r="U1" s="37"/>
    </row>
    <row r="2" ht="37.15" customHeight="1" spans="1:21">
      <c r="A2" s="38" t="s">
        <v>10</v>
      </c>
      <c r="B2" s="38"/>
      <c r="C2" s="38"/>
      <c r="D2" s="38"/>
      <c r="E2" s="38"/>
      <c r="F2" s="38"/>
      <c r="G2" s="38"/>
      <c r="H2" s="38"/>
      <c r="I2" s="38"/>
      <c r="J2" s="38"/>
      <c r="K2" s="38"/>
      <c r="L2" s="38"/>
      <c r="M2" s="38"/>
      <c r="N2" s="38"/>
      <c r="O2" s="38"/>
      <c r="P2" s="38"/>
      <c r="Q2" s="38"/>
      <c r="R2" s="38"/>
      <c r="S2" s="38"/>
      <c r="T2" s="38"/>
      <c r="U2" s="38"/>
    </row>
    <row r="3" ht="24.2" customHeight="1" spans="1:21">
      <c r="A3" s="39" t="str">
        <f>"部门"&amp;":"&amp;封面!E4&amp;封面!E5</f>
        <v>部门:405022益阳市赫山区新市渡镇卫生院</v>
      </c>
      <c r="B3" s="39"/>
      <c r="C3" s="39"/>
      <c r="D3" s="39"/>
      <c r="E3" s="39"/>
      <c r="F3" s="39"/>
      <c r="G3" s="39"/>
      <c r="H3" s="39"/>
      <c r="I3" s="39"/>
      <c r="J3" s="39"/>
      <c r="K3" s="39"/>
      <c r="L3" s="39"/>
      <c r="M3" s="39"/>
      <c r="N3" s="39"/>
      <c r="O3" s="39"/>
      <c r="P3" s="39"/>
      <c r="Q3" s="39"/>
      <c r="R3" s="39"/>
      <c r="S3" s="39"/>
      <c r="T3" s="40" t="s">
        <v>31</v>
      </c>
      <c r="U3" s="40"/>
    </row>
    <row r="4" ht="22.35" customHeight="1" spans="1:21">
      <c r="A4" s="46" t="s">
        <v>157</v>
      </c>
      <c r="B4" s="46"/>
      <c r="C4" s="46"/>
      <c r="D4" s="46" t="s">
        <v>198</v>
      </c>
      <c r="E4" s="46" t="s">
        <v>199</v>
      </c>
      <c r="F4" s="46" t="s">
        <v>216</v>
      </c>
      <c r="G4" s="46" t="s">
        <v>160</v>
      </c>
      <c r="H4" s="46"/>
      <c r="I4" s="46"/>
      <c r="J4" s="46"/>
      <c r="K4" s="46" t="s">
        <v>161</v>
      </c>
      <c r="L4" s="46"/>
      <c r="M4" s="46"/>
      <c r="N4" s="46"/>
      <c r="O4" s="46"/>
      <c r="P4" s="46"/>
      <c r="Q4" s="46"/>
      <c r="R4" s="46"/>
      <c r="S4" s="46"/>
      <c r="T4" s="46"/>
      <c r="U4" s="46"/>
    </row>
    <row r="5" ht="39.6" customHeight="1" spans="1:21">
      <c r="A5" s="46" t="s">
        <v>165</v>
      </c>
      <c r="B5" s="46" t="s">
        <v>166</v>
      </c>
      <c r="C5" s="46" t="s">
        <v>167</v>
      </c>
      <c r="D5" s="46"/>
      <c r="E5" s="46"/>
      <c r="F5" s="46"/>
      <c r="G5" s="46" t="s">
        <v>136</v>
      </c>
      <c r="H5" s="46" t="s">
        <v>217</v>
      </c>
      <c r="I5" s="46" t="s">
        <v>218</v>
      </c>
      <c r="J5" s="46" t="s">
        <v>209</v>
      </c>
      <c r="K5" s="46" t="s">
        <v>136</v>
      </c>
      <c r="L5" s="46" t="s">
        <v>219</v>
      </c>
      <c r="M5" s="46" t="s">
        <v>220</v>
      </c>
      <c r="N5" s="46" t="s">
        <v>221</v>
      </c>
      <c r="O5" s="46" t="s">
        <v>211</v>
      </c>
      <c r="P5" s="46" t="s">
        <v>222</v>
      </c>
      <c r="Q5" s="46" t="s">
        <v>223</v>
      </c>
      <c r="R5" s="46" t="s">
        <v>224</v>
      </c>
      <c r="S5" s="46" t="s">
        <v>207</v>
      </c>
      <c r="T5" s="46" t="s">
        <v>210</v>
      </c>
      <c r="U5" s="46" t="s">
        <v>214</v>
      </c>
    </row>
    <row r="6" ht="22.9" customHeight="1" spans="1:21">
      <c r="A6" s="42"/>
      <c r="B6" s="42"/>
      <c r="C6" s="42"/>
      <c r="D6" s="42"/>
      <c r="E6" s="42" t="s">
        <v>136</v>
      </c>
      <c r="F6" s="43">
        <f>'1收支总表'!F37</f>
        <v>75.99638</v>
      </c>
      <c r="G6" s="43">
        <f>'1收支总表'!F6</f>
        <v>62.99638</v>
      </c>
      <c r="H6" s="43">
        <f>'1收支总表'!F7</f>
        <v>51.88118</v>
      </c>
      <c r="I6" s="43">
        <f>'1收支总表'!F8</f>
        <v>11.1152</v>
      </c>
      <c r="J6" s="43">
        <f>'1收支总表'!F9</f>
        <v>0</v>
      </c>
      <c r="K6" s="43">
        <f>'1收支总表'!F12+'1收支总表'!F13</f>
        <v>13</v>
      </c>
      <c r="L6" s="43"/>
      <c r="M6" s="43">
        <f>'1收支总表'!F12</f>
        <v>13</v>
      </c>
      <c r="N6" s="43">
        <f>'1收支总表'!F13</f>
        <v>0</v>
      </c>
      <c r="O6" s="43"/>
      <c r="P6" s="43"/>
      <c r="Q6" s="43"/>
      <c r="R6" s="43"/>
      <c r="S6" s="43"/>
      <c r="T6" s="43"/>
      <c r="U6" s="43"/>
    </row>
    <row r="7" ht="22.9" customHeight="1" spans="1:21">
      <c r="A7" s="42"/>
      <c r="B7" s="42"/>
      <c r="C7" s="42"/>
      <c r="D7" s="44" t="s">
        <v>154</v>
      </c>
      <c r="E7" s="44" t="s">
        <v>155</v>
      </c>
      <c r="F7" s="48">
        <f t="shared" ref="F7:K7" si="0">F6</f>
        <v>75.99638</v>
      </c>
      <c r="G7" s="48">
        <f t="shared" si="0"/>
        <v>62.99638</v>
      </c>
      <c r="H7" s="48">
        <f t="shared" si="0"/>
        <v>51.88118</v>
      </c>
      <c r="I7" s="48">
        <f t="shared" si="0"/>
        <v>11.1152</v>
      </c>
      <c r="J7" s="48">
        <f t="shared" si="0"/>
        <v>0</v>
      </c>
      <c r="K7" s="48">
        <f t="shared" si="0"/>
        <v>13</v>
      </c>
      <c r="L7" s="43">
        <v>0</v>
      </c>
      <c r="M7" s="43">
        <f>M6</f>
        <v>13</v>
      </c>
      <c r="N7" s="43">
        <f>N6</f>
        <v>0</v>
      </c>
      <c r="O7" s="43"/>
      <c r="P7" s="43"/>
      <c r="Q7" s="43"/>
      <c r="R7" s="43"/>
      <c r="S7" s="43"/>
      <c r="T7" s="43"/>
      <c r="U7" s="43"/>
    </row>
    <row r="8" ht="22.9" customHeight="1" spans="1:21">
      <c r="A8" s="42"/>
      <c r="B8" s="42"/>
      <c r="C8" s="42"/>
      <c r="D8" s="44">
        <f>封面!E4</f>
        <v>405022</v>
      </c>
      <c r="E8" s="44" t="str">
        <f>封面!E5</f>
        <v>益阳市赫山区新市渡镇卫生院</v>
      </c>
      <c r="F8" s="48">
        <f t="shared" ref="F8:K9" si="1">F7</f>
        <v>75.99638</v>
      </c>
      <c r="G8" s="48">
        <f t="shared" si="1"/>
        <v>62.99638</v>
      </c>
      <c r="H8" s="48">
        <f t="shared" si="1"/>
        <v>51.88118</v>
      </c>
      <c r="I8" s="48">
        <f t="shared" si="1"/>
        <v>11.1152</v>
      </c>
      <c r="J8" s="48">
        <f t="shared" si="1"/>
        <v>0</v>
      </c>
      <c r="K8" s="48">
        <f t="shared" si="1"/>
        <v>13</v>
      </c>
      <c r="L8" s="43">
        <v>0</v>
      </c>
      <c r="M8" s="43">
        <f>M7</f>
        <v>13</v>
      </c>
      <c r="N8" s="43">
        <f>N7</f>
        <v>0</v>
      </c>
      <c r="O8" s="43"/>
      <c r="P8" s="43"/>
      <c r="Q8" s="43"/>
      <c r="R8" s="43"/>
      <c r="S8" s="43"/>
      <c r="T8" s="43"/>
      <c r="U8" s="43"/>
    </row>
    <row r="9" ht="22.9" customHeight="1" spans="1:21">
      <c r="A9" s="49" t="s">
        <v>172</v>
      </c>
      <c r="B9" s="49" t="s">
        <v>173</v>
      </c>
      <c r="C9" s="49" t="s">
        <v>173</v>
      </c>
      <c r="D9" s="50" t="s">
        <v>225</v>
      </c>
      <c r="E9" s="47" t="s">
        <v>175</v>
      </c>
      <c r="F9" s="45">
        <f>'4支出分类(政府预算)'!F9</f>
        <v>51.641</v>
      </c>
      <c r="G9" s="55">
        <f>H9+I9+J9</f>
        <v>51.641</v>
      </c>
      <c r="H9" s="55">
        <f>H8-H10-H11</f>
        <v>40.5258</v>
      </c>
      <c r="I9" s="55">
        <f t="shared" si="1"/>
        <v>11.1152</v>
      </c>
      <c r="J9" s="55"/>
      <c r="K9" s="55">
        <f>L9+M9+N9+O9+P9+Q9+R9+S9+T9+U9</f>
        <v>0</v>
      </c>
      <c r="L9" s="55"/>
      <c r="M9" s="55"/>
      <c r="N9" s="55"/>
      <c r="O9" s="55"/>
      <c r="P9" s="55"/>
      <c r="Q9" s="55"/>
      <c r="R9" s="55"/>
      <c r="S9" s="55"/>
      <c r="T9" s="55"/>
      <c r="U9" s="55"/>
    </row>
    <row r="10" ht="22.9" customHeight="1" spans="1:21">
      <c r="A10" s="49" t="s">
        <v>168</v>
      </c>
      <c r="B10" s="49" t="s">
        <v>169</v>
      </c>
      <c r="C10" s="49" t="s">
        <v>169</v>
      </c>
      <c r="D10" s="50" t="s">
        <v>225</v>
      </c>
      <c r="E10" s="47" t="s">
        <v>171</v>
      </c>
      <c r="F10" s="45">
        <f>G10+K10</f>
        <v>7.3364</v>
      </c>
      <c r="G10" s="55">
        <f t="shared" ref="G10" si="2">H10+I10+J10</f>
        <v>7.3364</v>
      </c>
      <c r="H10" s="55">
        <f>'4支出分类(政府预算)'!G10</f>
        <v>7.3364</v>
      </c>
      <c r="I10" s="55"/>
      <c r="J10" s="55"/>
      <c r="K10" s="55"/>
      <c r="L10" s="55"/>
      <c r="M10" s="55"/>
      <c r="N10" s="55"/>
      <c r="O10" s="55"/>
      <c r="P10" s="55"/>
      <c r="Q10" s="55"/>
      <c r="R10" s="55"/>
      <c r="S10" s="55"/>
      <c r="T10" s="55"/>
      <c r="U10" s="55"/>
    </row>
    <row r="11" ht="22.9" customHeight="1" spans="1:21">
      <c r="A11" s="49" t="s">
        <v>172</v>
      </c>
      <c r="B11" s="49" t="s">
        <v>194</v>
      </c>
      <c r="C11" s="49" t="s">
        <v>173</v>
      </c>
      <c r="D11" s="50" t="s">
        <v>225</v>
      </c>
      <c r="E11" s="47" t="s">
        <v>196</v>
      </c>
      <c r="F11" s="45">
        <f t="shared" ref="F11:F15" si="3">G11+K11</f>
        <v>4.01898</v>
      </c>
      <c r="G11" s="45">
        <f>VLOOKUP(封面!$E$5,[1]一般预算拨款!$A$7:$I$32,7,0)</f>
        <v>4.01898</v>
      </c>
      <c r="H11" s="55">
        <f>'4支出分类(政府预算)'!G11</f>
        <v>4.01898</v>
      </c>
      <c r="I11" s="55"/>
      <c r="J11" s="55"/>
      <c r="K11" s="55"/>
      <c r="L11" s="55"/>
      <c r="M11" s="55"/>
      <c r="N11" s="55"/>
      <c r="O11" s="55"/>
      <c r="P11" s="55"/>
      <c r="Q11" s="55"/>
      <c r="R11" s="55"/>
      <c r="S11" s="55"/>
      <c r="T11" s="55"/>
      <c r="U11" s="55"/>
    </row>
    <row r="12" ht="22.9" customHeight="1" spans="1:21">
      <c r="A12" s="49" t="s">
        <v>172</v>
      </c>
      <c r="B12" s="49" t="s">
        <v>187</v>
      </c>
      <c r="C12" s="49" t="s">
        <v>188</v>
      </c>
      <c r="D12" s="50" t="s">
        <v>225</v>
      </c>
      <c r="E12" s="47" t="s">
        <v>190</v>
      </c>
      <c r="F12" s="45">
        <f t="shared" si="3"/>
        <v>0</v>
      </c>
      <c r="G12" s="55"/>
      <c r="H12" s="55"/>
      <c r="I12" s="55"/>
      <c r="J12" s="55"/>
      <c r="K12" s="55">
        <f>L12+M12+N12+O12+P12+Q12+R12+S12+T12+U12</f>
        <v>0</v>
      </c>
      <c r="L12" s="55"/>
      <c r="M12" s="55"/>
      <c r="N12" s="55"/>
      <c r="O12" s="55"/>
      <c r="P12" s="55"/>
      <c r="Q12" s="55"/>
      <c r="R12" s="55"/>
      <c r="S12" s="55"/>
      <c r="T12" s="55"/>
      <c r="U12" s="55"/>
    </row>
    <row r="13" ht="22.9" customHeight="1" spans="1:21">
      <c r="A13" s="49" t="s">
        <v>172</v>
      </c>
      <c r="B13" s="49" t="s">
        <v>180</v>
      </c>
      <c r="C13" s="49" t="s">
        <v>173</v>
      </c>
      <c r="D13" s="50" t="s">
        <v>225</v>
      </c>
      <c r="E13" s="47" t="s">
        <v>182</v>
      </c>
      <c r="F13" s="45">
        <f t="shared" si="3"/>
        <v>0</v>
      </c>
      <c r="G13" s="55"/>
      <c r="H13" s="55"/>
      <c r="I13" s="55"/>
      <c r="J13" s="55"/>
      <c r="K13" s="55">
        <f>L13+M13+N13+O13+P13+Q13+R13+S13+T13+U13</f>
        <v>0</v>
      </c>
      <c r="L13" s="55"/>
      <c r="M13" s="55"/>
      <c r="N13" s="55"/>
      <c r="O13" s="55"/>
      <c r="P13" s="55"/>
      <c r="Q13" s="55"/>
      <c r="R13" s="55"/>
      <c r="S13" s="55"/>
      <c r="T13" s="55"/>
      <c r="U13" s="55"/>
    </row>
    <row r="14" ht="22.9" customHeight="1" spans="1:21">
      <c r="A14" s="49" t="s">
        <v>172</v>
      </c>
      <c r="B14" s="49" t="s">
        <v>180</v>
      </c>
      <c r="C14" s="49" t="s">
        <v>176</v>
      </c>
      <c r="D14" s="50" t="s">
        <v>225</v>
      </c>
      <c r="E14" s="47" t="s">
        <v>184</v>
      </c>
      <c r="F14" s="45">
        <f t="shared" si="3"/>
        <v>13</v>
      </c>
      <c r="G14" s="55"/>
      <c r="H14" s="55"/>
      <c r="I14" s="55"/>
      <c r="J14" s="55"/>
      <c r="K14" s="55">
        <f>L14+M14+N14+O14+P14+Q14+R14+S14+T14+U14</f>
        <v>13</v>
      </c>
      <c r="L14" s="55"/>
      <c r="M14" s="55">
        <f>M8</f>
        <v>13</v>
      </c>
      <c r="N14" s="55"/>
      <c r="O14" s="55"/>
      <c r="P14" s="55"/>
      <c r="Q14" s="55"/>
      <c r="R14" s="55"/>
      <c r="S14" s="55"/>
      <c r="T14" s="55"/>
      <c r="U14" s="55"/>
    </row>
    <row r="15" ht="22.9" customHeight="1" spans="1:21">
      <c r="A15" s="49" t="s">
        <v>172</v>
      </c>
      <c r="B15" s="49" t="s">
        <v>176</v>
      </c>
      <c r="C15" s="49" t="s">
        <v>177</v>
      </c>
      <c r="D15" s="50" t="s">
        <v>225</v>
      </c>
      <c r="E15" s="47" t="s">
        <v>179</v>
      </c>
      <c r="F15" s="45">
        <f t="shared" si="3"/>
        <v>0</v>
      </c>
      <c r="G15" s="55"/>
      <c r="H15" s="55"/>
      <c r="I15" s="55"/>
      <c r="J15" s="55"/>
      <c r="K15" s="55">
        <f>L15+M15+N15+O15+P15+Q15+R15+S15+T15+U15</f>
        <v>0</v>
      </c>
      <c r="L15" s="55"/>
      <c r="M15" s="55"/>
      <c r="N15" s="55"/>
      <c r="O15" s="55"/>
      <c r="P15" s="55"/>
      <c r="Q15" s="55"/>
      <c r="R15" s="55"/>
      <c r="S15" s="55"/>
      <c r="T15" s="55"/>
      <c r="U15" s="55"/>
    </row>
    <row r="16" ht="22.9" customHeight="1" spans="1:21">
      <c r="A16" s="49" t="s">
        <v>172</v>
      </c>
      <c r="B16" s="49" t="s">
        <v>187</v>
      </c>
      <c r="C16" s="49" t="s">
        <v>191</v>
      </c>
      <c r="D16" s="50" t="s">
        <v>225</v>
      </c>
      <c r="E16" s="47" t="s">
        <v>193</v>
      </c>
      <c r="F16" s="45"/>
      <c r="G16" s="55"/>
      <c r="H16" s="55"/>
      <c r="I16" s="55"/>
      <c r="J16" s="55"/>
      <c r="K16" s="55"/>
      <c r="L16" s="55"/>
      <c r="M16" s="55"/>
      <c r="N16" s="55"/>
      <c r="O16" s="55"/>
      <c r="P16" s="55"/>
      <c r="Q16" s="55"/>
      <c r="R16" s="55"/>
      <c r="S16" s="55"/>
      <c r="T16" s="55"/>
      <c r="U16" s="55"/>
    </row>
    <row r="17" ht="22.9" customHeight="1" spans="1:21">
      <c r="A17" s="49" t="s">
        <v>172</v>
      </c>
      <c r="B17" s="49" t="s">
        <v>180</v>
      </c>
      <c r="C17" s="49" t="s">
        <v>180</v>
      </c>
      <c r="D17" s="50" t="s">
        <v>225</v>
      </c>
      <c r="E17" s="47" t="s">
        <v>186</v>
      </c>
      <c r="F17" s="45"/>
      <c r="G17" s="55"/>
      <c r="H17" s="55"/>
      <c r="I17" s="55"/>
      <c r="J17" s="55"/>
      <c r="K17" s="55"/>
      <c r="L17" s="55"/>
      <c r="M17" s="55"/>
      <c r="N17" s="55"/>
      <c r="O17" s="55"/>
      <c r="P17" s="55"/>
      <c r="Q17" s="55"/>
      <c r="R17" s="55"/>
      <c r="S17" s="55"/>
      <c r="T17" s="55"/>
      <c r="U17" s="55"/>
    </row>
    <row r="20" spans="6:14">
      <c r="F20" s="60"/>
      <c r="G20" s="60"/>
      <c r="H20" s="60"/>
      <c r="I20" s="60"/>
      <c r="J20" s="60"/>
      <c r="K20" s="60"/>
      <c r="L20" s="60"/>
      <c r="M20" s="60"/>
      <c r="N20" s="6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topLeftCell="A4" workbookViewId="0">
      <selection activeCell="I43" sqref="I43"/>
    </sheetView>
  </sheetViews>
  <sheetFormatPr defaultColWidth="10" defaultRowHeight="13.5" outlineLevelCol="4"/>
  <cols>
    <col min="1" max="1" width="24.6333333333333" style="35" customWidth="1"/>
    <col min="2" max="2" width="16" style="35" customWidth="1"/>
    <col min="3" max="4" width="22.25" style="35" customWidth="1"/>
    <col min="5" max="5" width="0.133333333333333" style="35" customWidth="1"/>
    <col min="6" max="6" width="9.75" style="35" customWidth="1"/>
    <col min="7" max="16384" width="10" style="35"/>
  </cols>
  <sheetData>
    <row r="1" ht="16.35" customHeight="1" spans="1:4">
      <c r="A1" s="36"/>
      <c r="D1" s="37" t="s">
        <v>226</v>
      </c>
    </row>
    <row r="2" ht="31.9" customHeight="1" spans="1:4">
      <c r="A2" s="38" t="s">
        <v>11</v>
      </c>
      <c r="B2" s="38"/>
      <c r="C2" s="38"/>
      <c r="D2" s="38"/>
    </row>
    <row r="3" ht="18.95" customHeight="1" spans="1:5">
      <c r="A3" s="39" t="str">
        <f>"部门"&amp;":"&amp;封面!E4&amp;封面!E5</f>
        <v>部门:405022益阳市赫山区新市渡镇卫生院</v>
      </c>
      <c r="B3" s="39"/>
      <c r="C3" s="39"/>
      <c r="D3" s="40" t="s">
        <v>31</v>
      </c>
      <c r="E3" s="36"/>
    </row>
    <row r="4" ht="20.25" customHeight="1" spans="1:5">
      <c r="A4" s="41" t="s">
        <v>32</v>
      </c>
      <c r="B4" s="41"/>
      <c r="C4" s="41" t="s">
        <v>33</v>
      </c>
      <c r="D4" s="41"/>
      <c r="E4" s="89"/>
    </row>
    <row r="5" ht="20.25" customHeight="1" spans="1:5">
      <c r="A5" s="41" t="s">
        <v>34</v>
      </c>
      <c r="B5" s="41" t="s">
        <v>35</v>
      </c>
      <c r="C5" s="41" t="s">
        <v>34</v>
      </c>
      <c r="D5" s="41" t="s">
        <v>35</v>
      </c>
      <c r="E5" s="89"/>
    </row>
    <row r="6" ht="20.25" customHeight="1" spans="1:5">
      <c r="A6" s="42" t="s">
        <v>227</v>
      </c>
      <c r="B6" s="43">
        <f>'1收支总表'!B6</f>
        <v>75.99638</v>
      </c>
      <c r="C6" s="42" t="s">
        <v>228</v>
      </c>
      <c r="D6" s="48">
        <f>B6</f>
        <v>75.99638</v>
      </c>
      <c r="E6" s="90"/>
    </row>
    <row r="7" ht="20.25" customHeight="1" spans="1:5">
      <c r="A7" s="47" t="s">
        <v>229</v>
      </c>
      <c r="B7" s="55">
        <f>B6</f>
        <v>75.99638</v>
      </c>
      <c r="C7" s="47" t="s">
        <v>40</v>
      </c>
      <c r="D7" s="45"/>
      <c r="E7" s="90"/>
    </row>
    <row r="8" ht="20.25" customHeight="1" spans="1:5">
      <c r="A8" s="47" t="s">
        <v>230</v>
      </c>
      <c r="B8" s="55"/>
      <c r="C8" s="47" t="s">
        <v>44</v>
      </c>
      <c r="D8" s="45"/>
      <c r="E8" s="90"/>
    </row>
    <row r="9" ht="31.15" customHeight="1" spans="1:5">
      <c r="A9" s="47" t="s">
        <v>47</v>
      </c>
      <c r="B9" s="55"/>
      <c r="C9" s="47" t="s">
        <v>48</v>
      </c>
      <c r="D9" s="45"/>
      <c r="E9" s="90"/>
    </row>
    <row r="10" ht="20.25" customHeight="1" spans="1:5">
      <c r="A10" s="47" t="s">
        <v>231</v>
      </c>
      <c r="B10" s="55"/>
      <c r="C10" s="47" t="s">
        <v>52</v>
      </c>
      <c r="D10" s="45"/>
      <c r="E10" s="90"/>
    </row>
    <row r="11" ht="20.25" customHeight="1" spans="1:5">
      <c r="A11" s="47" t="s">
        <v>232</v>
      </c>
      <c r="B11" s="55"/>
      <c r="C11" s="47" t="s">
        <v>56</v>
      </c>
      <c r="D11" s="45"/>
      <c r="E11" s="90"/>
    </row>
    <row r="12" ht="20.25" customHeight="1" spans="1:5">
      <c r="A12" s="47" t="s">
        <v>233</v>
      </c>
      <c r="B12" s="55"/>
      <c r="C12" s="47" t="s">
        <v>60</v>
      </c>
      <c r="D12" s="45"/>
      <c r="E12" s="90"/>
    </row>
    <row r="13" ht="20.25" customHeight="1" spans="1:5">
      <c r="A13" s="42" t="s">
        <v>234</v>
      </c>
      <c r="B13" s="43"/>
      <c r="C13" s="47" t="s">
        <v>64</v>
      </c>
      <c r="D13" s="45"/>
      <c r="E13" s="90"/>
    </row>
    <row r="14" ht="20.25" customHeight="1" spans="1:5">
      <c r="A14" s="47" t="s">
        <v>229</v>
      </c>
      <c r="B14" s="55"/>
      <c r="C14" s="47" t="s">
        <v>68</v>
      </c>
      <c r="D14" s="45">
        <f>'1收支总表'!D13</f>
        <v>7.3364</v>
      </c>
      <c r="E14" s="90"/>
    </row>
    <row r="15" ht="20.25" customHeight="1" spans="1:5">
      <c r="A15" s="47" t="s">
        <v>231</v>
      </c>
      <c r="B15" s="55"/>
      <c r="C15" s="47" t="s">
        <v>72</v>
      </c>
      <c r="D15" s="45"/>
      <c r="E15" s="90"/>
    </row>
    <row r="16" ht="20.25" customHeight="1" spans="1:5">
      <c r="A16" s="47" t="s">
        <v>232</v>
      </c>
      <c r="B16" s="55"/>
      <c r="C16" s="47" t="s">
        <v>76</v>
      </c>
      <c r="D16" s="45">
        <f>'1收支总表'!D15</f>
        <v>68.65998</v>
      </c>
      <c r="E16" s="90"/>
    </row>
    <row r="17" ht="20.25" customHeight="1" spans="1:5">
      <c r="A17" s="47" t="s">
        <v>233</v>
      </c>
      <c r="B17" s="55"/>
      <c r="C17" s="47" t="s">
        <v>80</v>
      </c>
      <c r="D17" s="45"/>
      <c r="E17" s="90"/>
    </row>
    <row r="18" ht="20.25" customHeight="1" spans="1:5">
      <c r="A18" s="47"/>
      <c r="B18" s="55"/>
      <c r="C18" s="47" t="s">
        <v>84</v>
      </c>
      <c r="D18" s="45"/>
      <c r="E18" s="90"/>
    </row>
    <row r="19" ht="20.25" customHeight="1" spans="1:5">
      <c r="A19" s="47"/>
      <c r="B19" s="47"/>
      <c r="C19" s="47" t="s">
        <v>88</v>
      </c>
      <c r="D19" s="45"/>
      <c r="E19" s="90"/>
    </row>
    <row r="20" ht="20.25" customHeight="1" spans="1:5">
      <c r="A20" s="47"/>
      <c r="B20" s="47"/>
      <c r="C20" s="47" t="s">
        <v>92</v>
      </c>
      <c r="D20" s="45"/>
      <c r="E20" s="90"/>
    </row>
    <row r="21" ht="20.25" customHeight="1" spans="1:5">
      <c r="A21" s="47"/>
      <c r="B21" s="47"/>
      <c r="C21" s="47" t="s">
        <v>96</v>
      </c>
      <c r="D21" s="45"/>
      <c r="E21" s="90"/>
    </row>
    <row r="22" ht="20.25" customHeight="1" spans="1:5">
      <c r="A22" s="47"/>
      <c r="B22" s="47"/>
      <c r="C22" s="47" t="s">
        <v>99</v>
      </c>
      <c r="D22" s="45"/>
      <c r="E22" s="90"/>
    </row>
    <row r="23" ht="20.25" customHeight="1" spans="1:5">
      <c r="A23" s="47"/>
      <c r="B23" s="47"/>
      <c r="C23" s="47" t="s">
        <v>102</v>
      </c>
      <c r="D23" s="45"/>
      <c r="E23" s="90"/>
    </row>
    <row r="24" ht="20.25" customHeight="1" spans="1:5">
      <c r="A24" s="47"/>
      <c r="B24" s="47"/>
      <c r="C24" s="47" t="s">
        <v>104</v>
      </c>
      <c r="D24" s="45"/>
      <c r="E24" s="90"/>
    </row>
    <row r="25" ht="20.25" customHeight="1" spans="1:5">
      <c r="A25" s="47"/>
      <c r="B25" s="47"/>
      <c r="C25" s="47" t="s">
        <v>106</v>
      </c>
      <c r="D25" s="45"/>
      <c r="E25" s="90"/>
    </row>
    <row r="26" ht="20.25" customHeight="1" spans="1:5">
      <c r="A26" s="47"/>
      <c r="B26" s="47"/>
      <c r="C26" s="47" t="s">
        <v>108</v>
      </c>
      <c r="D26" s="45"/>
      <c r="E26" s="90"/>
    </row>
    <row r="27" ht="20.25" customHeight="1" spans="1:5">
      <c r="A27" s="47"/>
      <c r="B27" s="47"/>
      <c r="C27" s="47" t="s">
        <v>110</v>
      </c>
      <c r="D27" s="45"/>
      <c r="E27" s="90"/>
    </row>
    <row r="28" ht="20.25" customHeight="1" spans="1:5">
      <c r="A28" s="47"/>
      <c r="B28" s="47"/>
      <c r="C28" s="47" t="s">
        <v>112</v>
      </c>
      <c r="D28" s="45"/>
      <c r="E28" s="90"/>
    </row>
    <row r="29" ht="20.25" customHeight="1" spans="1:5">
      <c r="A29" s="47"/>
      <c r="B29" s="47"/>
      <c r="C29" s="47" t="s">
        <v>114</v>
      </c>
      <c r="D29" s="45"/>
      <c r="E29" s="90"/>
    </row>
    <row r="30" ht="20.25" customHeight="1" spans="1:5">
      <c r="A30" s="47"/>
      <c r="B30" s="47"/>
      <c r="C30" s="47" t="s">
        <v>116</v>
      </c>
      <c r="D30" s="45"/>
      <c r="E30" s="90"/>
    </row>
    <row r="31" ht="20.25" customHeight="1" spans="1:5">
      <c r="A31" s="47"/>
      <c r="B31" s="47"/>
      <c r="C31" s="47" t="s">
        <v>118</v>
      </c>
      <c r="D31" s="45"/>
      <c r="E31" s="90"/>
    </row>
    <row r="32" ht="20.25" customHeight="1" spans="1:5">
      <c r="A32" s="47"/>
      <c r="B32" s="47"/>
      <c r="C32" s="47" t="s">
        <v>120</v>
      </c>
      <c r="D32" s="45"/>
      <c r="E32" s="90"/>
    </row>
    <row r="33" ht="20.25" customHeight="1" spans="1:5">
      <c r="A33" s="47"/>
      <c r="B33" s="47"/>
      <c r="C33" s="47" t="s">
        <v>122</v>
      </c>
      <c r="D33" s="45"/>
      <c r="E33" s="90"/>
    </row>
    <row r="34" ht="20.25" customHeight="1" spans="1:5">
      <c r="A34" s="47"/>
      <c r="B34" s="47"/>
      <c r="C34" s="47" t="s">
        <v>123</v>
      </c>
      <c r="D34" s="45"/>
      <c r="E34" s="90"/>
    </row>
    <row r="35" ht="20.25" customHeight="1" spans="1:5">
      <c r="A35" s="47"/>
      <c r="B35" s="47"/>
      <c r="C35" s="47" t="s">
        <v>124</v>
      </c>
      <c r="D35" s="45"/>
      <c r="E35" s="90"/>
    </row>
    <row r="36" ht="20.25" customHeight="1" spans="1:5">
      <c r="A36" s="47"/>
      <c r="B36" s="47"/>
      <c r="C36" s="47" t="s">
        <v>125</v>
      </c>
      <c r="D36" s="45"/>
      <c r="E36" s="90"/>
    </row>
    <row r="37" ht="20.25" customHeight="1" spans="1:5">
      <c r="A37" s="47"/>
      <c r="B37" s="47"/>
      <c r="C37" s="47"/>
      <c r="D37" s="47"/>
      <c r="E37" s="90"/>
    </row>
    <row r="38" ht="20.25" customHeight="1" spans="1:5">
      <c r="A38" s="42"/>
      <c r="B38" s="42"/>
      <c r="C38" s="42" t="s">
        <v>235</v>
      </c>
      <c r="D38" s="43"/>
      <c r="E38" s="91"/>
    </row>
    <row r="39" ht="20.25" customHeight="1" spans="1:5">
      <c r="A39" s="42"/>
      <c r="B39" s="42"/>
      <c r="C39" s="42"/>
      <c r="D39" s="42"/>
      <c r="E39" s="91"/>
    </row>
    <row r="40" ht="20.25" customHeight="1" spans="1:5">
      <c r="A40" s="46" t="s">
        <v>236</v>
      </c>
      <c r="B40" s="43">
        <f>B6</f>
        <v>75.99638</v>
      </c>
      <c r="C40" s="46" t="s">
        <v>237</v>
      </c>
      <c r="D40" s="48">
        <f>D6</f>
        <v>75.99638</v>
      </c>
      <c r="E40" s="9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J20" sqref="J20"/>
    </sheetView>
  </sheetViews>
  <sheetFormatPr defaultColWidth="10" defaultRowHeight="13.5"/>
  <cols>
    <col min="1" max="1" width="7.425" style="35" customWidth="1"/>
    <col min="2" max="2" width="4.88333333333333" style="35" customWidth="1"/>
    <col min="3" max="3" width="6" style="35" customWidth="1"/>
    <col min="4" max="4" width="9" style="35" customWidth="1"/>
    <col min="5" max="6" width="16.3833333333333" style="35" customWidth="1"/>
    <col min="7" max="7" width="11.5" style="35" customWidth="1"/>
    <col min="8" max="8" width="12.5" style="35" customWidth="1"/>
    <col min="9" max="9" width="10.8833333333333" style="35" customWidth="1"/>
    <col min="10" max="10" width="14.6333333333333" style="35" customWidth="1"/>
    <col min="11" max="11" width="11.3833333333333" style="35" customWidth="1"/>
    <col min="12" max="12" width="19" style="35" customWidth="1"/>
    <col min="13" max="13" width="9.75" style="35" customWidth="1"/>
    <col min="14" max="16384" width="10" style="35"/>
  </cols>
  <sheetData>
    <row r="1" ht="16.35" customHeight="1" spans="1:12">
      <c r="A1" s="36"/>
      <c r="D1" s="36"/>
      <c r="L1" s="37" t="s">
        <v>238</v>
      </c>
    </row>
    <row r="2" ht="43.15" customHeight="1" spans="1:12">
      <c r="A2" s="38" t="s">
        <v>12</v>
      </c>
      <c r="B2" s="38"/>
      <c r="C2" s="38"/>
      <c r="D2" s="38"/>
      <c r="E2" s="38"/>
      <c r="F2" s="38"/>
      <c r="G2" s="38"/>
      <c r="H2" s="38"/>
      <c r="I2" s="38"/>
      <c r="J2" s="38"/>
      <c r="K2" s="38"/>
      <c r="L2" s="38"/>
    </row>
    <row r="3" ht="24.2" customHeight="1" spans="1:12">
      <c r="A3" s="39" t="str">
        <f>"部门"&amp;":"&amp;封面!E4&amp;封面!E5</f>
        <v>部门:405022益阳市赫山区新市渡镇卫生院</v>
      </c>
      <c r="B3" s="39"/>
      <c r="C3" s="39"/>
      <c r="D3" s="39"/>
      <c r="E3" s="39"/>
      <c r="F3" s="39"/>
      <c r="G3" s="39"/>
      <c r="H3" s="39"/>
      <c r="I3" s="39"/>
      <c r="J3" s="39"/>
      <c r="K3" s="40" t="s">
        <v>31</v>
      </c>
      <c r="L3" s="40"/>
    </row>
    <row r="4" ht="24.95" customHeight="1" spans="1:12">
      <c r="A4" s="41" t="s">
        <v>157</v>
      </c>
      <c r="B4" s="41"/>
      <c r="C4" s="41"/>
      <c r="D4" s="41" t="s">
        <v>158</v>
      </c>
      <c r="E4" s="41" t="s">
        <v>159</v>
      </c>
      <c r="F4" s="41" t="s">
        <v>136</v>
      </c>
      <c r="G4" s="41" t="s">
        <v>160</v>
      </c>
      <c r="H4" s="41"/>
      <c r="I4" s="41"/>
      <c r="J4" s="41"/>
      <c r="K4" s="41"/>
      <c r="L4" s="41" t="s">
        <v>161</v>
      </c>
    </row>
    <row r="5" ht="20.65" customHeight="1" spans="1:12">
      <c r="A5" s="41"/>
      <c r="B5" s="41"/>
      <c r="C5" s="41"/>
      <c r="D5" s="41"/>
      <c r="E5" s="41"/>
      <c r="F5" s="41"/>
      <c r="G5" s="41" t="s">
        <v>138</v>
      </c>
      <c r="H5" s="41" t="s">
        <v>239</v>
      </c>
      <c r="I5" s="41"/>
      <c r="J5" s="41"/>
      <c r="K5" s="41" t="s">
        <v>240</v>
      </c>
      <c r="L5" s="41"/>
    </row>
    <row r="6" ht="28.5" customHeight="1" spans="1:12">
      <c r="A6" s="41" t="s">
        <v>165</v>
      </c>
      <c r="B6" s="41" t="s">
        <v>166</v>
      </c>
      <c r="C6" s="41" t="s">
        <v>167</v>
      </c>
      <c r="D6" s="41"/>
      <c r="E6" s="41"/>
      <c r="F6" s="41"/>
      <c r="G6" s="41"/>
      <c r="H6" s="41" t="s">
        <v>217</v>
      </c>
      <c r="I6" s="41" t="s">
        <v>241</v>
      </c>
      <c r="J6" s="41" t="s">
        <v>209</v>
      </c>
      <c r="K6" s="41"/>
      <c r="L6" s="41"/>
    </row>
    <row r="7" ht="22.9" customHeight="1" spans="1:12">
      <c r="A7" s="47"/>
      <c r="B7" s="47"/>
      <c r="C7" s="47"/>
      <c r="D7" s="42"/>
      <c r="E7" s="42" t="s">
        <v>136</v>
      </c>
      <c r="F7" s="43">
        <f>'1收支总表'!F37</f>
        <v>75.99638</v>
      </c>
      <c r="G7" s="43">
        <f>'1收支总表'!F6</f>
        <v>62.99638</v>
      </c>
      <c r="H7" s="43">
        <f>'1收支总表'!F7</f>
        <v>51.88118</v>
      </c>
      <c r="I7" s="43"/>
      <c r="J7" s="43">
        <f>'1收支总表'!F9</f>
        <v>0</v>
      </c>
      <c r="K7" s="43">
        <f>'1收支总表'!F8</f>
        <v>11.1152</v>
      </c>
      <c r="L7" s="43">
        <f>'1收支总表'!F10</f>
        <v>13</v>
      </c>
    </row>
    <row r="8" ht="22.9" customHeight="1" spans="1:12">
      <c r="A8" s="47"/>
      <c r="B8" s="47"/>
      <c r="C8" s="47"/>
      <c r="D8" s="44" t="s">
        <v>154</v>
      </c>
      <c r="E8" s="44" t="s">
        <v>155</v>
      </c>
      <c r="F8" s="43">
        <f>F7</f>
        <v>75.99638</v>
      </c>
      <c r="G8" s="43">
        <f>G7</f>
        <v>62.99638</v>
      </c>
      <c r="H8" s="43">
        <f t="shared" ref="G8:L8" si="0">H7</f>
        <v>51.88118</v>
      </c>
      <c r="I8" s="43"/>
      <c r="J8" s="43">
        <f t="shared" si="0"/>
        <v>0</v>
      </c>
      <c r="K8" s="43">
        <f t="shared" si="0"/>
        <v>11.1152</v>
      </c>
      <c r="L8" s="43">
        <f t="shared" si="0"/>
        <v>13</v>
      </c>
    </row>
    <row r="9" ht="22.9" customHeight="1" spans="1:12">
      <c r="A9" s="47"/>
      <c r="B9" s="47"/>
      <c r="C9" s="47"/>
      <c r="D9" s="44">
        <f>封面!E4</f>
        <v>405022</v>
      </c>
      <c r="E9" s="44" t="str">
        <f>封面!E5</f>
        <v>益阳市赫山区新市渡镇卫生院</v>
      </c>
      <c r="F9" s="43">
        <f>F8</f>
        <v>75.99638</v>
      </c>
      <c r="G9" s="43">
        <f>G8</f>
        <v>62.99638</v>
      </c>
      <c r="H9" s="43">
        <f>H8</f>
        <v>51.88118</v>
      </c>
      <c r="I9" s="43"/>
      <c r="J9" s="43">
        <f t="shared" ref="G9:L9" si="1">J8</f>
        <v>0</v>
      </c>
      <c r="K9" s="43">
        <f t="shared" si="1"/>
        <v>11.1152</v>
      </c>
      <c r="L9" s="43">
        <f t="shared" si="1"/>
        <v>13</v>
      </c>
    </row>
    <row r="10" ht="22.9" customHeight="1" spans="1:12">
      <c r="A10" s="81">
        <v>208</v>
      </c>
      <c r="B10" s="81"/>
      <c r="C10" s="82"/>
      <c r="D10" s="44"/>
      <c r="E10" s="44" t="s">
        <v>242</v>
      </c>
      <c r="F10" s="43">
        <f>F11</f>
        <v>7.3364</v>
      </c>
      <c r="G10" s="43">
        <f>H10+I10+J10+K10</f>
        <v>7.34</v>
      </c>
      <c r="H10" s="43">
        <v>7.34</v>
      </c>
      <c r="I10" s="43"/>
      <c r="J10" s="43"/>
      <c r="K10" s="43"/>
      <c r="L10" s="43"/>
    </row>
    <row r="11" ht="22.9" customHeight="1" spans="1:12">
      <c r="A11" s="81">
        <v>208</v>
      </c>
      <c r="B11" s="81" t="s">
        <v>169</v>
      </c>
      <c r="C11" s="82"/>
      <c r="D11" s="44"/>
      <c r="E11" s="44" t="s">
        <v>243</v>
      </c>
      <c r="F11" s="43">
        <f>F12</f>
        <v>7.3364</v>
      </c>
      <c r="G11" s="43">
        <f t="shared" ref="G11:G28" si="2">H11+I11+J11+K11</f>
        <v>7.34</v>
      </c>
      <c r="H11" s="43">
        <v>7.34</v>
      </c>
      <c r="I11" s="43"/>
      <c r="J11" s="43"/>
      <c r="K11" s="43"/>
      <c r="L11" s="43"/>
    </row>
    <row r="12" ht="22.9" customHeight="1" spans="1:12">
      <c r="A12" s="81" t="s">
        <v>168</v>
      </c>
      <c r="B12" s="81" t="s">
        <v>169</v>
      </c>
      <c r="C12" s="81" t="s">
        <v>169</v>
      </c>
      <c r="D12" s="50" t="s">
        <v>244</v>
      </c>
      <c r="E12" s="47" t="s">
        <v>171</v>
      </c>
      <c r="F12" s="55">
        <f>G12+L12</f>
        <v>7.3364</v>
      </c>
      <c r="G12" s="43">
        <f t="shared" si="2"/>
        <v>7.3364</v>
      </c>
      <c r="H12" s="55">
        <f>'4支出分类(政府预算)'!G10</f>
        <v>7.3364</v>
      </c>
      <c r="I12" s="45"/>
      <c r="J12" s="45"/>
      <c r="K12" s="45"/>
      <c r="L12" s="45"/>
    </row>
    <row r="13" ht="22.9" customHeight="1" spans="1:12">
      <c r="A13" s="81" t="s">
        <v>172</v>
      </c>
      <c r="B13" s="81"/>
      <c r="C13" s="81"/>
      <c r="D13" s="50"/>
      <c r="E13" s="47" t="s">
        <v>245</v>
      </c>
      <c r="F13" s="55">
        <f>F14+F16+F18+F22+F25+F27</f>
        <v>68.65998</v>
      </c>
      <c r="G13" s="43">
        <f t="shared" si="2"/>
        <v>55.66898</v>
      </c>
      <c r="H13" s="55">
        <f>H14+H26</f>
        <v>44.54898</v>
      </c>
      <c r="I13" s="45"/>
      <c r="J13" s="45"/>
      <c r="K13" s="45">
        <v>11.12</v>
      </c>
      <c r="L13" s="45">
        <v>13</v>
      </c>
    </row>
    <row r="14" ht="22.9" customHeight="1" spans="1:12">
      <c r="A14" s="81" t="s">
        <v>172</v>
      </c>
      <c r="B14" s="81" t="s">
        <v>173</v>
      </c>
      <c r="C14" s="81"/>
      <c r="D14" s="50"/>
      <c r="E14" s="47" t="s">
        <v>246</v>
      </c>
      <c r="F14" s="55">
        <f>F15</f>
        <v>51.641</v>
      </c>
      <c r="G14" s="43">
        <f t="shared" si="2"/>
        <v>51.65</v>
      </c>
      <c r="H14" s="55">
        <v>40.53</v>
      </c>
      <c r="I14" s="45"/>
      <c r="J14" s="45"/>
      <c r="K14" s="45">
        <v>11.12</v>
      </c>
      <c r="L14" s="45"/>
    </row>
    <row r="15" ht="22.9" customHeight="1" spans="1:12">
      <c r="A15" s="81" t="s">
        <v>172</v>
      </c>
      <c r="B15" s="81" t="s">
        <v>173</v>
      </c>
      <c r="C15" s="81" t="s">
        <v>173</v>
      </c>
      <c r="D15" s="50" t="s">
        <v>247</v>
      </c>
      <c r="E15" s="47" t="s">
        <v>175</v>
      </c>
      <c r="F15" s="55">
        <f>G15+L15</f>
        <v>51.641</v>
      </c>
      <c r="G15" s="43">
        <f t="shared" si="2"/>
        <v>51.641</v>
      </c>
      <c r="H15" s="55">
        <f>H9-H12-H26</f>
        <v>40.5258</v>
      </c>
      <c r="I15" s="45"/>
      <c r="J15" s="45"/>
      <c r="K15" s="45">
        <f>K9</f>
        <v>11.1152</v>
      </c>
      <c r="L15" s="45"/>
    </row>
    <row r="16" ht="22.9" customHeight="1" spans="1:12">
      <c r="A16" s="81" t="s">
        <v>172</v>
      </c>
      <c r="B16" s="81" t="s">
        <v>176</v>
      </c>
      <c r="C16" s="81"/>
      <c r="D16" s="50"/>
      <c r="E16" s="47" t="s">
        <v>248</v>
      </c>
      <c r="F16" s="55">
        <f>F17</f>
        <v>13</v>
      </c>
      <c r="G16" s="43">
        <f t="shared" si="2"/>
        <v>0</v>
      </c>
      <c r="H16" s="55"/>
      <c r="I16" s="45"/>
      <c r="J16" s="45"/>
      <c r="K16" s="45"/>
      <c r="L16" s="45">
        <v>13</v>
      </c>
    </row>
    <row r="17" ht="22.9" customHeight="1" spans="1:12">
      <c r="A17" s="81" t="s">
        <v>172</v>
      </c>
      <c r="B17" s="81" t="s">
        <v>176</v>
      </c>
      <c r="C17" s="81" t="s">
        <v>177</v>
      </c>
      <c r="D17" s="50" t="s">
        <v>249</v>
      </c>
      <c r="E17" s="47" t="s">
        <v>179</v>
      </c>
      <c r="F17" s="55">
        <f>G17+L17</f>
        <v>13</v>
      </c>
      <c r="G17" s="43">
        <f t="shared" si="2"/>
        <v>0</v>
      </c>
      <c r="H17" s="45"/>
      <c r="I17" s="45"/>
      <c r="J17" s="45"/>
      <c r="K17" s="45"/>
      <c r="L17" s="45">
        <v>13</v>
      </c>
    </row>
    <row r="18" ht="22.9" customHeight="1" spans="1:12">
      <c r="A18" s="81" t="s">
        <v>172</v>
      </c>
      <c r="B18" s="81" t="s">
        <v>180</v>
      </c>
      <c r="C18" s="81"/>
      <c r="D18" s="50"/>
      <c r="E18" s="47" t="s">
        <v>250</v>
      </c>
      <c r="F18" s="55">
        <f>F19+F20+F21</f>
        <v>0</v>
      </c>
      <c r="G18" s="43">
        <f t="shared" si="2"/>
        <v>0</v>
      </c>
      <c r="H18" s="45"/>
      <c r="I18" s="45"/>
      <c r="J18" s="45"/>
      <c r="K18" s="45"/>
      <c r="L18" s="45"/>
    </row>
    <row r="19" ht="22.9" customHeight="1" spans="1:12">
      <c r="A19" s="81" t="s">
        <v>172</v>
      </c>
      <c r="B19" s="81" t="s">
        <v>180</v>
      </c>
      <c r="C19" s="81" t="s">
        <v>173</v>
      </c>
      <c r="D19" s="50" t="s">
        <v>251</v>
      </c>
      <c r="E19" s="47" t="s">
        <v>182</v>
      </c>
      <c r="F19" s="55">
        <f>G19+L19</f>
        <v>0</v>
      </c>
      <c r="G19" s="43">
        <f t="shared" si="2"/>
        <v>0</v>
      </c>
      <c r="H19" s="45"/>
      <c r="I19" s="45"/>
      <c r="J19" s="45"/>
      <c r="K19" s="45"/>
      <c r="L19" s="45"/>
    </row>
    <row r="20" ht="22.9" customHeight="1" spans="1:12">
      <c r="A20" s="81" t="s">
        <v>172</v>
      </c>
      <c r="B20" s="81" t="s">
        <v>180</v>
      </c>
      <c r="C20" s="81" t="s">
        <v>176</v>
      </c>
      <c r="D20" s="50" t="s">
        <v>252</v>
      </c>
      <c r="E20" s="47" t="s">
        <v>184</v>
      </c>
      <c r="F20" s="55">
        <f>G20+L20</f>
        <v>0</v>
      </c>
      <c r="G20" s="43">
        <f t="shared" si="2"/>
        <v>0</v>
      </c>
      <c r="H20" s="45"/>
      <c r="I20" s="45"/>
      <c r="J20" s="45"/>
      <c r="K20" s="45"/>
      <c r="L20" s="45"/>
    </row>
    <row r="21" ht="22.9" customHeight="1" spans="1:12">
      <c r="A21" s="81" t="s">
        <v>172</v>
      </c>
      <c r="B21" s="81" t="s">
        <v>180</v>
      </c>
      <c r="C21" s="81" t="s">
        <v>180</v>
      </c>
      <c r="D21" s="50" t="s">
        <v>253</v>
      </c>
      <c r="E21" s="47" t="s">
        <v>186</v>
      </c>
      <c r="F21" s="55">
        <f>G21+L21</f>
        <v>0</v>
      </c>
      <c r="G21" s="43">
        <f t="shared" si="2"/>
        <v>0</v>
      </c>
      <c r="H21" s="45"/>
      <c r="I21" s="45"/>
      <c r="J21" s="45"/>
      <c r="K21" s="45"/>
      <c r="L21" s="45"/>
    </row>
    <row r="22" ht="22.9" customHeight="1" spans="1:12">
      <c r="A22" s="81" t="s">
        <v>172</v>
      </c>
      <c r="B22" s="81" t="s">
        <v>187</v>
      </c>
      <c r="C22" s="81"/>
      <c r="D22" s="50"/>
      <c r="E22" s="47" t="s">
        <v>254</v>
      </c>
      <c r="F22" s="55">
        <f>F23+F24</f>
        <v>0</v>
      </c>
      <c r="G22" s="43">
        <f t="shared" si="2"/>
        <v>0</v>
      </c>
      <c r="H22" s="45"/>
      <c r="I22" s="45"/>
      <c r="J22" s="45"/>
      <c r="K22" s="45"/>
      <c r="L22" s="45"/>
    </row>
    <row r="23" ht="22.9" customHeight="1" spans="1:12">
      <c r="A23" s="81" t="s">
        <v>172</v>
      </c>
      <c r="B23" s="81" t="s">
        <v>187</v>
      </c>
      <c r="C23" s="81" t="s">
        <v>188</v>
      </c>
      <c r="D23" s="50" t="s">
        <v>255</v>
      </c>
      <c r="E23" s="47" t="s">
        <v>190</v>
      </c>
      <c r="F23" s="55">
        <f>G23+L23</f>
        <v>0</v>
      </c>
      <c r="G23" s="43">
        <f t="shared" si="2"/>
        <v>0</v>
      </c>
      <c r="H23" s="45"/>
      <c r="I23" s="45"/>
      <c r="J23" s="45"/>
      <c r="K23" s="45"/>
      <c r="L23" s="45"/>
    </row>
    <row r="24" ht="22.9" customHeight="1" spans="1:12">
      <c r="A24" s="81" t="s">
        <v>172</v>
      </c>
      <c r="B24" s="81" t="s">
        <v>187</v>
      </c>
      <c r="C24" s="81" t="s">
        <v>191</v>
      </c>
      <c r="D24" s="50" t="s">
        <v>256</v>
      </c>
      <c r="E24" s="47" t="s">
        <v>193</v>
      </c>
      <c r="F24" s="55">
        <f>G24+L24</f>
        <v>0</v>
      </c>
      <c r="G24" s="43">
        <f t="shared" si="2"/>
        <v>0</v>
      </c>
      <c r="H24" s="45"/>
      <c r="I24" s="45"/>
      <c r="J24" s="45"/>
      <c r="K24" s="45"/>
      <c r="L24" s="45"/>
    </row>
    <row r="25" ht="22.9" customHeight="1" spans="1:12">
      <c r="A25" s="81" t="s">
        <v>172</v>
      </c>
      <c r="B25" s="81" t="s">
        <v>194</v>
      </c>
      <c r="C25" s="81"/>
      <c r="D25" s="50"/>
      <c r="E25" s="47" t="s">
        <v>257</v>
      </c>
      <c r="F25" s="55">
        <f>F26</f>
        <v>4.01898</v>
      </c>
      <c r="G25" s="43">
        <f t="shared" si="2"/>
        <v>4.02</v>
      </c>
      <c r="H25" s="45">
        <v>4.02</v>
      </c>
      <c r="I25" s="45"/>
      <c r="J25" s="45"/>
      <c r="K25" s="45"/>
      <c r="L25" s="45"/>
    </row>
    <row r="26" ht="22.9" customHeight="1" spans="1:12">
      <c r="A26" s="83" t="s">
        <v>172</v>
      </c>
      <c r="B26" s="83" t="s">
        <v>194</v>
      </c>
      <c r="C26" s="83" t="s">
        <v>173</v>
      </c>
      <c r="D26" s="84" t="s">
        <v>258</v>
      </c>
      <c r="E26" s="85" t="s">
        <v>196</v>
      </c>
      <c r="F26" s="55">
        <f>G26+L26</f>
        <v>4.01898</v>
      </c>
      <c r="G26" s="43">
        <f t="shared" si="2"/>
        <v>4.01898</v>
      </c>
      <c r="H26" s="86">
        <f>'4支出分类(政府预算)'!G11</f>
        <v>4.01898</v>
      </c>
      <c r="I26" s="88"/>
      <c r="J26" s="88"/>
      <c r="K26" s="88"/>
      <c r="L26" s="88"/>
    </row>
    <row r="27" ht="17" customHeight="1" spans="1:12">
      <c r="A27" s="83">
        <v>210</v>
      </c>
      <c r="B27" s="83">
        <v>16</v>
      </c>
      <c r="C27" s="83"/>
      <c r="D27" s="84"/>
      <c r="E27" s="85" t="s">
        <v>259</v>
      </c>
      <c r="F27" s="55">
        <f>G27+L27</f>
        <v>0</v>
      </c>
      <c r="G27" s="43">
        <f t="shared" si="2"/>
        <v>0</v>
      </c>
      <c r="H27" s="87"/>
      <c r="I27" s="87"/>
      <c r="J27" s="87"/>
      <c r="K27" s="87"/>
      <c r="L27" s="87"/>
    </row>
    <row r="28" ht="17" customHeight="1" spans="1:12">
      <c r="A28" s="83">
        <v>210</v>
      </c>
      <c r="B28" s="83">
        <v>16</v>
      </c>
      <c r="C28" s="83" t="s">
        <v>173</v>
      </c>
      <c r="D28" s="84">
        <v>2101601</v>
      </c>
      <c r="E28" s="85" t="s">
        <v>259</v>
      </c>
      <c r="F28" s="55">
        <f>G28+L28</f>
        <v>0</v>
      </c>
      <c r="G28" s="43">
        <f t="shared" si="2"/>
        <v>0</v>
      </c>
      <c r="H28" s="87"/>
      <c r="I28" s="87"/>
      <c r="J28" s="87"/>
      <c r="K28" s="87"/>
      <c r="L28" s="87"/>
    </row>
    <row r="31" spans="6:12">
      <c r="F31" s="60"/>
      <c r="G31" s="60"/>
      <c r="H31" s="60"/>
      <c r="I31" s="60"/>
      <c r="J31" s="60"/>
      <c r="K31" s="60"/>
      <c r="L31" s="60"/>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橙橙</cp:lastModifiedBy>
  <dcterms:created xsi:type="dcterms:W3CDTF">2023-05-31T13:17:00Z</dcterms:created>
  <dcterms:modified xsi:type="dcterms:W3CDTF">2024-10-15T09:26:33Z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49BB5E119BA44CD4AF49C85E706A6E80_13</vt:lpwstr>
  </property>
  <property fmtid="{D5CDD505-2E9C-101B-9397-08002B2CF9AE}" pid="3" name="KSOProductBuildVer">
    <vt:lpwstr>2052-12.1.0.18276</vt:lpwstr>
  </property>
</Properties>
</file>