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1925" firstSheet="2" activeTab="6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<sst xmlns="http://schemas.openxmlformats.org/spreadsheetml/2006/main" count="1627" uniqueCount="569">
  <si>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</si>
  <si>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</si>
  <si>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</si>
  <si>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益阳市赫山区龙岭学校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</si>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</sst>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8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0"/>
      <name val="SimSun"/>
      <charset val="134"/>
    </font>
    <font>
      <b/>
      <sz val="12"/>
      <name val="SimSun"/>
      <charset val="134"/>
    </font>
    <font>
      <sz val="10"/>
      <name val="SimSun"/>
      <charset val="134"/>
    </font>
    <font>
      <sz val="12"/>
      <name val="SimSun"/>
      <charset val="134"/>
    </font>
    <font>
      <sz val="11"/>
      <name val="SimSun"/>
      <charset val="134"/>
    </font>
    <font>
      <b/>
      <sz val="15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3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5" applyNumberFormat="0" applyAlignment="0" applyProtection="0">
      <alignment vertical="center"/>
    </xf>
    <xf numFmtId="0" fontId="28" fillId="5" borderId="6" applyNumberFormat="0" applyAlignment="0" applyProtection="0">
      <alignment vertical="center"/>
    </xf>
    <xf numFmtId="0" fontId="29" fillId="5" borderId="5" applyNumberFormat="0" applyAlignment="0" applyProtection="0">
      <alignment vertical="center"/>
    </xf>
    <xf numFmtId="0" fontId="30" fillId="6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69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11" fillId="0" borderId="1" xfId="0" applyNumberFormat="1" applyFont="1" applyBorder="1" applyAlignment="1">
      <alignment vertical="center" wrapText="1"/>
    </xf>
    <xf numFmtId="4" fontId="12" fillId="0" borderId="1" xfId="0" applyNumberFormat="1" applyFont="1" applyBorder="1" applyAlignment="1">
      <alignment vertical="center" wrapText="1"/>
    </xf>
    <xf numFmtId="4" fontId="13" fillId="0" borderId="1" xfId="0" applyNumberFormat="1" applyFont="1" applyBorder="1" applyAlignment="1">
      <alignment vertical="center" wrapText="1"/>
    </xf>
    <xf numFmtId="4" fontId="14" fillId="0" borderId="1" xfId="0" applyNumberFormat="1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4" fontId="15" fillId="0" borderId="1" xfId="0" applyNumberFormat="1" applyFont="1" applyBorder="1" applyAlignment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vertical="center" wrapText="1"/>
    </xf>
    <xf numFmtId="0" fontId="16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haredStrings" Target="sharedStrings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.DEEP-2024EEHDLC\AppData\Local\Temp\360zip$Temp\360$1\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.DEEP-2024EEHDLC\AppData\Local\Temp\360zip$Temp\360$1\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E6" sqref="E6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6" t="s">
        <v>0</v>
      </c>
      <c r="B1" s="66"/>
      <c r="C1" s="66"/>
      <c r="D1" s="66"/>
      <c r="E1" s="66"/>
      <c r="F1" s="66"/>
      <c r="G1" s="66"/>
      <c r="H1" s="66"/>
      <c r="I1" s="66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7"/>
      <c r="B4" s="68"/>
      <c r="C4" s="1"/>
      <c r="D4" s="67" t="s">
        <v>1</v>
      </c>
      <c r="E4" s="68">
        <f>VLOOKUP(E5,[1]Sheet1!$F:$G,2,0)</f>
        <v>127044</v>
      </c>
      <c r="F4" s="68"/>
      <c r="G4" s="68"/>
      <c r="H4" s="68"/>
      <c r="I4" s="1"/>
    </row>
    <row r="5" ht="54.3" customHeight="1" spans="1:9">
      <c r="A5" s="67"/>
      <c r="B5" s="68"/>
      <c r="C5" s="1"/>
      <c r="D5" s="67" t="s">
        <v>2</v>
      </c>
      <c r="E5" s="68" t="s">
        <v>3</v>
      </c>
      <c r="F5" s="68"/>
      <c r="G5" s="68"/>
      <c r="H5" s="68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部门：127044_益阳市赫山区龙岭学校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322.6448</v>
      </c>
      <c r="D6" s="32">
        <f>D7+D31</f>
        <v>315.5938</v>
      </c>
      <c r="E6" s="32">
        <f>E16</f>
        <v>7.051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315.5938</v>
      </c>
      <c r="D7" s="32">
        <f>SUM(D8:D15)</f>
        <v>315.5938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141.642</v>
      </c>
      <c r="D8" s="36">
        <f>VLOOKUP(封面!E5,[2]Sheet1!$A:$B,2,0)/10000</f>
        <v>141.642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80.01</v>
      </c>
      <c r="D11" s="36">
        <f>VLOOKUP(封面!E5,[2]Sheet1!$A:$F,6,0)/10000</f>
        <v>80.01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35.8656</v>
      </c>
      <c r="D12" s="36">
        <f>VLOOKUP(封面!E5,[2]Sheet1!$A:$G,7,0)/10000</f>
        <v>35.8656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31.1801</v>
      </c>
      <c r="D13" s="36">
        <f>VLOOKUP(封面!E5,[2]Sheet1!$A:$H,8,0)/10000</f>
        <v>31.1801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26.8961</v>
      </c>
      <c r="D14" s="36">
        <f>VLOOKUP(封面!E5,[2]Sheet1!$A:$I,9,0)/10000</f>
        <v>26.8961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7.051</v>
      </c>
      <c r="D16" s="32"/>
      <c r="E16" s="32">
        <f>E28+E29</f>
        <v>7.051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2.8204</v>
      </c>
      <c r="D28" s="36"/>
      <c r="E28" s="36">
        <f>VLOOKUP(封面!E5,[2]Sheet1!$A:$P,16,0)/10000</f>
        <v>2.8204</v>
      </c>
    </row>
    <row r="29" ht="19.55" customHeight="1" spans="1:5">
      <c r="A29" s="35" t="s">
        <v>284</v>
      </c>
      <c r="B29" s="35" t="s">
        <v>285</v>
      </c>
      <c r="C29" s="36">
        <f>E29</f>
        <v>4.2306</v>
      </c>
      <c r="D29" s="36"/>
      <c r="E29" s="36">
        <f>VLOOKUP(封面!E5,[2]Sheet1!$A:$Q,17,0)/10000</f>
        <v>4.2306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0</v>
      </c>
      <c r="D31" s="32">
        <f>D32+D33</f>
        <v>0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0</v>
      </c>
      <c r="D33" s="36">
        <f>VLOOKUP(封面!E5,[2]Sheet1!$A:$O,15,0)/10000</f>
        <v>0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322.6448</v>
      </c>
      <c r="D8" s="32">
        <f>D11</f>
        <v>315.5938</v>
      </c>
      <c r="E8" s="32">
        <f>E11</f>
        <v>221.652</v>
      </c>
      <c r="F8" s="32">
        <f>F11</f>
        <v>141.642</v>
      </c>
      <c r="G8" s="32">
        <f>G11</f>
        <v>0</v>
      </c>
      <c r="H8" s="32"/>
      <c r="I8" s="32">
        <f>I11</f>
        <v>0</v>
      </c>
      <c r="J8" s="32">
        <f>J11</f>
        <v>80.01</v>
      </c>
      <c r="K8" s="32">
        <f>K11</f>
        <v>67.0457</v>
      </c>
      <c r="L8" s="32">
        <f>L11</f>
        <v>35.8656</v>
      </c>
      <c r="M8" s="32"/>
      <c r="N8" s="32">
        <f>N11</f>
        <v>31.1801</v>
      </c>
      <c r="O8" s="32"/>
      <c r="P8" s="32"/>
      <c r="Q8" s="32"/>
      <c r="R8" s="32">
        <f>R11</f>
        <v>26.8961</v>
      </c>
      <c r="S8" s="32">
        <f>S11</f>
        <v>0</v>
      </c>
      <c r="T8" s="32">
        <f>T11</f>
        <v>7.051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2.8204</v>
      </c>
      <c r="AS8" s="32">
        <f>AS11</f>
        <v>4.2306</v>
      </c>
      <c r="AT8" s="32"/>
      <c r="AU8" s="32"/>
      <c r="AV8" s="32"/>
      <c r="AW8" s="32">
        <f>AW11</f>
        <v>0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0</v>
      </c>
    </row>
    <row r="9" ht="19.55" customHeight="1" spans="1:61">
      <c r="A9" s="29" t="s">
        <v>165</v>
      </c>
      <c r="B9" s="29" t="s">
        <v>226</v>
      </c>
      <c r="C9" s="32">
        <f>C11</f>
        <v>322.6448</v>
      </c>
      <c r="D9" s="32">
        <f>D11</f>
        <v>315.5938</v>
      </c>
      <c r="E9" s="32">
        <f>E11</f>
        <v>221.652</v>
      </c>
      <c r="F9" s="32">
        <f>F11</f>
        <v>141.642</v>
      </c>
      <c r="G9" s="32">
        <f>G12</f>
        <v>0</v>
      </c>
      <c r="H9" s="32"/>
      <c r="I9" s="32">
        <f>I11</f>
        <v>0</v>
      </c>
      <c r="J9" s="32">
        <f>J11</f>
        <v>80.01</v>
      </c>
      <c r="K9" s="32">
        <f>K11</f>
        <v>67.0457</v>
      </c>
      <c r="L9" s="32">
        <f>L11</f>
        <v>35.8656</v>
      </c>
      <c r="M9" s="32"/>
      <c r="N9" s="32">
        <f>N11</f>
        <v>31.1801</v>
      </c>
      <c r="O9" s="32"/>
      <c r="P9" s="32"/>
      <c r="Q9" s="32"/>
      <c r="R9" s="32">
        <f>R11</f>
        <v>26.8961</v>
      </c>
      <c r="S9" s="32">
        <f>S11</f>
        <v>0</v>
      </c>
      <c r="T9" s="32">
        <f>T11</f>
        <v>7.051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2.8204</v>
      </c>
      <c r="AS9" s="32">
        <f>AS11</f>
        <v>4.2306</v>
      </c>
      <c r="AT9" s="32"/>
      <c r="AU9" s="32"/>
      <c r="AV9" s="32"/>
      <c r="AW9" s="32">
        <f>AW11</f>
        <v>0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0</v>
      </c>
    </row>
    <row r="10" ht="19.55" customHeight="1" spans="1:61">
      <c r="A10" s="30" t="s">
        <v>356</v>
      </c>
      <c r="B10" s="30" t="s">
        <v>357</v>
      </c>
      <c r="C10" s="32">
        <f>C11</f>
        <v>322.6448</v>
      </c>
      <c r="D10" s="32">
        <f>D11</f>
        <v>315.5938</v>
      </c>
      <c r="E10" s="32">
        <f>E11</f>
        <v>221.652</v>
      </c>
      <c r="F10" s="32">
        <f>F11</f>
        <v>141.642</v>
      </c>
      <c r="G10" s="32">
        <f>G11</f>
        <v>0</v>
      </c>
      <c r="H10" s="32">
        <v>0</v>
      </c>
      <c r="I10" s="32">
        <f>I11</f>
        <v>0</v>
      </c>
      <c r="J10" s="32">
        <f>J11</f>
        <v>80.01</v>
      </c>
      <c r="K10" s="32">
        <f>K11</f>
        <v>67.0457</v>
      </c>
      <c r="L10" s="32">
        <f>L11</f>
        <v>35.8656</v>
      </c>
      <c r="M10" s="32">
        <v>0</v>
      </c>
      <c r="N10" s="32">
        <f>N11</f>
        <v>31.1801</v>
      </c>
      <c r="O10" s="32">
        <v>0</v>
      </c>
      <c r="P10" s="32">
        <v>0</v>
      </c>
      <c r="Q10" s="32">
        <v>0</v>
      </c>
      <c r="R10" s="32">
        <f>R11</f>
        <v>26.8961</v>
      </c>
      <c r="S10" s="32">
        <f>S11</f>
        <v>0</v>
      </c>
      <c r="T10" s="32">
        <f>T11</f>
        <v>7.051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2.8204</v>
      </c>
      <c r="AS10" s="32">
        <f>AS11</f>
        <v>4.2306</v>
      </c>
      <c r="AT10" s="32"/>
      <c r="AU10" s="32"/>
      <c r="AV10" s="32"/>
      <c r="AW10" s="32">
        <f>AW11</f>
        <v>0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0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322.6448</v>
      </c>
      <c r="D11" s="33">
        <f>E11+K11+R11+S11</f>
        <v>315.5938</v>
      </c>
      <c r="E11" s="33">
        <f>F11+G11+I11+J11</f>
        <v>221.652</v>
      </c>
      <c r="F11" s="33">
        <f>'8一般公共预算基本支出表（纵向）'!D8</f>
        <v>141.642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80.01</v>
      </c>
      <c r="K11" s="33">
        <f>L11+N11</f>
        <v>67.0457</v>
      </c>
      <c r="L11" s="33">
        <f>'8一般公共预算基本支出表（纵向）'!D12</f>
        <v>35.8656</v>
      </c>
      <c r="M11" s="33"/>
      <c r="N11" s="33">
        <f>'8一般公共预算基本支出表（纵向）'!D13</f>
        <v>31.1801</v>
      </c>
      <c r="O11" s="33"/>
      <c r="P11" s="33"/>
      <c r="Q11" s="33"/>
      <c r="R11" s="33">
        <f>'8一般公共预算基本支出表（纵向）'!D14</f>
        <v>26.8961</v>
      </c>
      <c r="S11" s="33">
        <f>'8一般公共预算基本支出表（纵向）'!D15</f>
        <v>0</v>
      </c>
      <c r="T11" s="33">
        <f>'8一般公共预算基本支出表（纵向）'!C16</f>
        <v>7.051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2.8204</v>
      </c>
      <c r="AS11" s="33">
        <f>'8一般公共预算基本支出表（纵向）'!E29</f>
        <v>4.2306</v>
      </c>
      <c r="AT11" s="33"/>
      <c r="AU11" s="33"/>
      <c r="AV11" s="33"/>
      <c r="AW11" s="33">
        <f>'8一般公共预算基本支出表（纵向）'!D31</f>
        <v>0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0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部门：127044_益阳市赫山区龙岭学校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322.6448</v>
      </c>
      <c r="D6" s="28">
        <f t="shared" si="0"/>
        <v>315.5938</v>
      </c>
      <c r="E6" s="28">
        <f t="shared" si="0"/>
        <v>221.652</v>
      </c>
      <c r="F6" s="28">
        <f t="shared" si="0"/>
        <v>67.0457</v>
      </c>
      <c r="G6" s="28">
        <f t="shared" si="0"/>
        <v>26.8961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322.6448</v>
      </c>
      <c r="D7" s="28">
        <f t="shared" si="1"/>
        <v>315.5938</v>
      </c>
      <c r="E7" s="28">
        <f t="shared" si="1"/>
        <v>221.652</v>
      </c>
      <c r="F7" s="28">
        <f t="shared" si="1"/>
        <v>67.0457</v>
      </c>
      <c r="G7" s="28">
        <f t="shared" si="1"/>
        <v>26.8961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322.6448</v>
      </c>
      <c r="D8" s="28">
        <f t="shared" si="2"/>
        <v>315.5938</v>
      </c>
      <c r="E8" s="28">
        <f t="shared" si="2"/>
        <v>221.652</v>
      </c>
      <c r="F8" s="28">
        <f t="shared" si="2"/>
        <v>67.0457</v>
      </c>
      <c r="G8" s="28">
        <f t="shared" si="2"/>
        <v>26.8961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322.6448</v>
      </c>
      <c r="D9" s="6">
        <f>E9+F9+G9+H9</f>
        <v>315.5938</v>
      </c>
      <c r="E9" s="21">
        <f>'9一般公共预算基本支出表（横向）'!E11</f>
        <v>221.652</v>
      </c>
      <c r="F9" s="21">
        <f>'9一般公共预算基本支出表（横向）'!K11</f>
        <v>67.0457</v>
      </c>
      <c r="G9" s="21">
        <f>'9一般公共预算基本支出表（横向）'!R11</f>
        <v>26.8961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部门：127044_益阳市赫山区龙岭学校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315.5938</v>
      </c>
      <c r="D6" s="13">
        <f t="shared" si="0"/>
        <v>221.652</v>
      </c>
      <c r="E6" s="13">
        <f t="shared" si="0"/>
        <v>141.642</v>
      </c>
      <c r="F6" s="13">
        <f t="shared" si="0"/>
        <v>0</v>
      </c>
      <c r="G6" s="13">
        <f t="shared" si="0"/>
        <v>0</v>
      </c>
      <c r="H6" s="13">
        <f t="shared" si="0"/>
        <v>80.01</v>
      </c>
      <c r="I6" s="13">
        <f t="shared" si="0"/>
        <v>67.0457</v>
      </c>
      <c r="J6" s="13">
        <f t="shared" si="0"/>
        <v>35.8656</v>
      </c>
      <c r="K6" s="13"/>
      <c r="L6" s="13">
        <f>L9</f>
        <v>31.1801</v>
      </c>
      <c r="M6" s="13"/>
      <c r="N6" s="13"/>
      <c r="O6" s="13">
        <f>O9</f>
        <v>26.8961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315.5938</v>
      </c>
      <c r="D7" s="13">
        <f t="shared" si="1"/>
        <v>221.652</v>
      </c>
      <c r="E7" s="13">
        <f t="shared" si="1"/>
        <v>141.642</v>
      </c>
      <c r="F7" s="13">
        <f t="shared" si="1"/>
        <v>0</v>
      </c>
      <c r="G7" s="13">
        <f t="shared" si="1"/>
        <v>0</v>
      </c>
      <c r="H7" s="13">
        <f t="shared" si="1"/>
        <v>80.01</v>
      </c>
      <c r="I7" s="13">
        <f t="shared" si="1"/>
        <v>67.0457</v>
      </c>
      <c r="J7" s="13">
        <f t="shared" si="1"/>
        <v>35.8656</v>
      </c>
      <c r="K7" s="13"/>
      <c r="L7" s="13">
        <f>L9</f>
        <v>31.1801</v>
      </c>
      <c r="M7" s="13"/>
      <c r="N7" s="13"/>
      <c r="O7" s="13">
        <f>O9</f>
        <v>26.8961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315.5938</v>
      </c>
      <c r="D8" s="13">
        <f t="shared" si="2"/>
        <v>221.652</v>
      </c>
      <c r="E8" s="13">
        <f t="shared" si="2"/>
        <v>141.642</v>
      </c>
      <c r="F8" s="13">
        <f t="shared" si="2"/>
        <v>0</v>
      </c>
      <c r="G8" s="13">
        <f t="shared" si="2"/>
        <v>0</v>
      </c>
      <c r="H8" s="13">
        <f t="shared" si="2"/>
        <v>80.01</v>
      </c>
      <c r="I8" s="13">
        <f t="shared" si="2"/>
        <v>67.0457</v>
      </c>
      <c r="J8" s="13">
        <f t="shared" si="2"/>
        <v>35.8656</v>
      </c>
      <c r="K8" s="13"/>
      <c r="L8" s="13">
        <f>L9</f>
        <v>31.1801</v>
      </c>
      <c r="M8" s="13"/>
      <c r="N8" s="13"/>
      <c r="O8" s="13">
        <f>O9</f>
        <v>26.8961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315.5938</v>
      </c>
      <c r="D9" s="21">
        <f>E9+H9+F9+G9</f>
        <v>221.652</v>
      </c>
      <c r="E9" s="21">
        <f>'8一般公共预算基本支出表（纵向）'!D8</f>
        <v>141.642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80.01</v>
      </c>
      <c r="I9" s="6">
        <f>J9+L9</f>
        <v>67.0457</v>
      </c>
      <c r="J9" s="21">
        <f>'9一般公共预算基本支出表（横向）'!L11</f>
        <v>35.8656</v>
      </c>
      <c r="K9" s="21"/>
      <c r="L9" s="21">
        <f>'9一般公共预算基本支出表（横向）'!N11</f>
        <v>31.1801</v>
      </c>
      <c r="M9" s="21"/>
      <c r="N9" s="21"/>
      <c r="O9" s="21">
        <f>'9一般公共预算基本支出表（横向）'!R11</f>
        <v>26.8961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部门：127044_益阳市赫山区龙岭学校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0</v>
      </c>
      <c r="D6" s="13"/>
      <c r="E6" s="13"/>
      <c r="F6" s="13"/>
      <c r="G6" s="13">
        <f>G9</f>
        <v>0</v>
      </c>
      <c r="H6" s="13">
        <f>H9</f>
        <v>0</v>
      </c>
    </row>
    <row r="7" ht="19.55" customHeight="1" spans="1:8">
      <c r="A7" s="29" t="s">
        <v>165</v>
      </c>
      <c r="B7" s="29" t="s">
        <v>226</v>
      </c>
      <c r="C7" s="13">
        <f>C9</f>
        <v>0</v>
      </c>
      <c r="D7" s="13"/>
      <c r="E7" s="13"/>
      <c r="F7" s="13"/>
      <c r="G7" s="13">
        <f>G9</f>
        <v>0</v>
      </c>
      <c r="H7" s="13">
        <f>H9</f>
        <v>0</v>
      </c>
    </row>
    <row r="8" ht="19.55" customHeight="1" spans="1:8">
      <c r="A8" s="30" t="s">
        <v>356</v>
      </c>
      <c r="B8" s="30" t="s">
        <v>357</v>
      </c>
      <c r="C8" s="13">
        <f>C9</f>
        <v>0</v>
      </c>
      <c r="D8" s="13"/>
      <c r="E8" s="13"/>
      <c r="F8" s="13"/>
      <c r="G8" s="13">
        <f>G9</f>
        <v>0</v>
      </c>
      <c r="H8" s="13">
        <f>H9</f>
        <v>0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0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0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部门：127044_益阳市赫山区龙岭学校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0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0</v>
      </c>
    </row>
    <row r="7" ht="19.55" customHeight="1" spans="1:15">
      <c r="A7" s="29" t="s">
        <v>165</v>
      </c>
      <c r="B7" s="29" t="s">
        <v>226</v>
      </c>
      <c r="C7" s="6">
        <f>D7+O7</f>
        <v>0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0</v>
      </c>
    </row>
    <row r="8" ht="19.55" customHeight="1" spans="1:15">
      <c r="A8" s="30" t="s">
        <v>356</v>
      </c>
      <c r="B8" s="30" t="s">
        <v>357</v>
      </c>
      <c r="C8" s="6">
        <f>D8+O8</f>
        <v>0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0</v>
      </c>
    </row>
    <row r="9" ht="19.55" customHeight="1" spans="1:15">
      <c r="A9" s="30" t="s">
        <v>173</v>
      </c>
      <c r="B9" s="30" t="s">
        <v>174</v>
      </c>
      <c r="C9" s="6">
        <f>D9+O9</f>
        <v>0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0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部门：127044_益阳市赫山区龙岭学校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7.051</v>
      </c>
      <c r="D6" s="28">
        <v>7.051</v>
      </c>
      <c r="E6" s="21">
        <v>2.1153</v>
      </c>
      <c r="F6" s="21">
        <v>1.05765</v>
      </c>
      <c r="G6" s="21">
        <v>1.05765</v>
      </c>
      <c r="H6" s="28"/>
      <c r="I6" s="28"/>
      <c r="J6" s="21"/>
      <c r="K6" s="28"/>
      <c r="L6" s="28"/>
      <c r="M6" s="21">
        <v>1.05765</v>
      </c>
      <c r="N6" s="28">
        <v>1.76275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7.051</v>
      </c>
      <c r="D7" s="28">
        <v>7.051</v>
      </c>
      <c r="E7" s="21">
        <v>2.1153</v>
      </c>
      <c r="F7" s="21">
        <v>1.05765</v>
      </c>
      <c r="G7" s="21">
        <v>1.05765</v>
      </c>
      <c r="H7" s="28"/>
      <c r="I7" s="28"/>
      <c r="J7" s="21"/>
      <c r="K7" s="28"/>
      <c r="L7" s="28"/>
      <c r="M7" s="21">
        <v>1.05765</v>
      </c>
      <c r="N7" s="28">
        <v>1.76275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7.051</v>
      </c>
      <c r="D8" s="28">
        <v>7.051</v>
      </c>
      <c r="E8" s="21">
        <v>2.1153</v>
      </c>
      <c r="F8" s="21">
        <v>1.05765</v>
      </c>
      <c r="G8" s="21">
        <v>1.05765</v>
      </c>
      <c r="H8" s="28"/>
      <c r="I8" s="28"/>
      <c r="J8" s="21"/>
      <c r="K8" s="28"/>
      <c r="L8" s="28"/>
      <c r="M8" s="21">
        <v>1.05765</v>
      </c>
      <c r="N8" s="28">
        <v>1.76275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7.051</v>
      </c>
      <c r="D9" s="21">
        <f>'15商品服务'!C9</f>
        <v>7.051</v>
      </c>
      <c r="E9" s="21">
        <f>C9*0.3</f>
        <v>2.1153</v>
      </c>
      <c r="F9" s="21">
        <f>C9*0.15</f>
        <v>1.05765</v>
      </c>
      <c r="G9" s="21">
        <f>C9*0.15</f>
        <v>1.05765</v>
      </c>
      <c r="H9" s="21"/>
      <c r="I9" s="21"/>
      <c r="J9" s="21"/>
      <c r="K9" s="21"/>
      <c r="L9" s="21"/>
      <c r="M9" s="21">
        <f>C9*0.15</f>
        <v>1.05765</v>
      </c>
      <c r="N9" s="21">
        <f>C9*0.25</f>
        <v>1.76275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部门：127044_益阳市赫山区龙岭学校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7.051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2.8204</v>
      </c>
      <c r="Z6" s="28">
        <f>Z9</f>
        <v>4.2306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7.051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2.8204</v>
      </c>
      <c r="Z7" s="28">
        <f>Z9</f>
        <v>4.2306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7.051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2.8204</v>
      </c>
      <c r="Z8" s="28">
        <f>Z9</f>
        <v>4.2306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7.051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2.8204</v>
      </c>
      <c r="Z9" s="21">
        <f>'8一般公共预算基本支出表（纵向）'!E29</f>
        <v>4.2306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部门：127044_益阳市赫山区龙岭学校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127044</v>
      </c>
      <c r="B7" s="12" t="str">
        <f>封面!E5</f>
        <v>益阳市赫山区龙岭学校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127044</v>
      </c>
      <c r="B8" s="19" t="str">
        <f>B7</f>
        <v>益阳市赫山区龙岭学校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部门：127044_益阳市赫山区龙岭学校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63">
        <v>1</v>
      </c>
      <c r="C4" s="64" t="s">
        <v>6</v>
      </c>
    </row>
    <row r="5" ht="32.55" customHeight="1" spans="2:3">
      <c r="B5" s="63">
        <v>2</v>
      </c>
      <c r="C5" s="65" t="s">
        <v>7</v>
      </c>
    </row>
    <row r="6" ht="32.55" customHeight="1" spans="2:3">
      <c r="B6" s="63">
        <v>3</v>
      </c>
      <c r="C6" s="64" t="s">
        <v>8</v>
      </c>
    </row>
    <row r="7" ht="32.55" customHeight="1" spans="2:3">
      <c r="B7" s="63">
        <v>4</v>
      </c>
      <c r="C7" s="64" t="s">
        <v>9</v>
      </c>
    </row>
    <row r="8" ht="32.55" customHeight="1" spans="2:3">
      <c r="B8" s="63">
        <v>5</v>
      </c>
      <c r="C8" s="64" t="s">
        <v>10</v>
      </c>
    </row>
    <row r="9" ht="32.55" customHeight="1" spans="2:3">
      <c r="B9" s="63">
        <v>6</v>
      </c>
      <c r="C9" s="64" t="s">
        <v>11</v>
      </c>
    </row>
    <row r="10" ht="32.55" customHeight="1" spans="2:3">
      <c r="B10" s="63">
        <v>7</v>
      </c>
      <c r="C10" s="64" t="s">
        <v>12</v>
      </c>
    </row>
    <row r="11" ht="32.55" customHeight="1" spans="2:3">
      <c r="B11" s="63">
        <v>8</v>
      </c>
      <c r="C11" s="64" t="s">
        <v>13</v>
      </c>
    </row>
    <row r="12" ht="32.55" customHeight="1" spans="2:3">
      <c r="B12" s="63">
        <v>9</v>
      </c>
      <c r="C12" s="64" t="s">
        <v>14</v>
      </c>
    </row>
    <row r="13" ht="32.55" customHeight="1" spans="2:3">
      <c r="B13" s="63">
        <v>10</v>
      </c>
      <c r="C13" s="64" t="s">
        <v>15</v>
      </c>
    </row>
    <row r="14" ht="32.55" customHeight="1" spans="2:3">
      <c r="B14" s="63">
        <v>11</v>
      </c>
      <c r="C14" s="64" t="s">
        <v>16</v>
      </c>
    </row>
    <row r="15" ht="32.55" customHeight="1" spans="2:3">
      <c r="B15" s="63">
        <v>12</v>
      </c>
      <c r="C15" s="64" t="s">
        <v>17</v>
      </c>
    </row>
    <row r="16" ht="32.55" customHeight="1" spans="2:3">
      <c r="B16" s="63">
        <v>13</v>
      </c>
      <c r="C16" s="64" t="s">
        <v>18</v>
      </c>
    </row>
    <row r="17" ht="32.55" customHeight="1" spans="2:3">
      <c r="B17" s="63">
        <v>14</v>
      </c>
      <c r="C17" s="64" t="s">
        <v>19</v>
      </c>
    </row>
    <row r="18" ht="32.55" customHeight="1" spans="2:3">
      <c r="B18" s="63">
        <v>15</v>
      </c>
      <c r="C18" s="64" t="s">
        <v>20</v>
      </c>
    </row>
    <row r="19" ht="32.55" customHeight="1" spans="2:3">
      <c r="B19" s="63">
        <v>16</v>
      </c>
      <c r="C19" s="64" t="s">
        <v>21</v>
      </c>
    </row>
    <row r="20" ht="32.55" customHeight="1" spans="2:3">
      <c r="B20" s="63">
        <v>17</v>
      </c>
      <c r="C20" s="64" t="s">
        <v>22</v>
      </c>
    </row>
    <row r="21" ht="32.55" customHeight="1" spans="2:3">
      <c r="B21" s="63">
        <v>18</v>
      </c>
      <c r="C21" s="64" t="s">
        <v>23</v>
      </c>
    </row>
    <row r="22" ht="32.55" customHeight="1" spans="2:3">
      <c r="B22" s="63">
        <v>19</v>
      </c>
      <c r="C22" s="64" t="s">
        <v>24</v>
      </c>
    </row>
    <row r="23" ht="32.55" customHeight="1" spans="2:3">
      <c r="B23" s="63">
        <v>20</v>
      </c>
      <c r="C23" s="64" t="s">
        <v>25</v>
      </c>
    </row>
    <row r="24" ht="32.55" customHeight="1" spans="2:3">
      <c r="B24" s="63">
        <v>21</v>
      </c>
      <c r="C24" s="64" t="s">
        <v>26</v>
      </c>
    </row>
    <row r="25" ht="32.55" customHeight="1" spans="2:3">
      <c r="B25" s="63">
        <v>22</v>
      </c>
      <c r="C25" s="64" t="s">
        <v>27</v>
      </c>
    </row>
    <row r="26" ht="32.55" customHeight="1" spans="2:3">
      <c r="B26" s="63">
        <v>23</v>
      </c>
      <c r="C26" s="64" t="s">
        <v>28</v>
      </c>
    </row>
    <row r="27" ht="32.55" customHeight="1" spans="2:3">
      <c r="B27" s="63">
        <v>24</v>
      </c>
      <c r="C27" s="64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部门：127044_益阳市赫山区龙岭学校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部门：127044_益阳市赫山区龙岭学校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部门：127044_益阳市赫山区龙岭学校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部门：127044_益阳市赫山区龙岭学校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17.8112</v>
      </c>
      <c r="D7" s="13"/>
      <c r="E7" s="13"/>
      <c r="F7" s="13"/>
      <c r="G7" s="13"/>
      <c r="H7" s="13">
        <f>H12</f>
        <v>17.8112</v>
      </c>
    </row>
    <row r="8" ht="22.8" customHeight="1" spans="1:8">
      <c r="A8" s="12">
        <f>'16三公'!A7</f>
        <v>127044</v>
      </c>
      <c r="B8" s="12" t="str">
        <f>'16三公'!B7</f>
        <v>益阳市赫山区龙岭学校</v>
      </c>
      <c r="C8" s="13">
        <f t="shared" si="0"/>
        <v>17.8112</v>
      </c>
      <c r="D8" s="13"/>
      <c r="E8" s="13"/>
      <c r="F8" s="13"/>
      <c r="G8" s="13"/>
      <c r="H8" s="13">
        <f>H12</f>
        <v>17.8112</v>
      </c>
    </row>
    <row r="9" ht="22.8" customHeight="1" spans="1:8">
      <c r="A9" s="20">
        <f>A8</f>
        <v>127044</v>
      </c>
      <c r="B9" s="20" t="str">
        <f>B8</f>
        <v>益阳市赫山区龙岭学校</v>
      </c>
      <c r="C9" s="13">
        <f t="shared" si="0"/>
        <v>17.8112</v>
      </c>
      <c r="D9" s="13"/>
      <c r="E9" s="13"/>
      <c r="F9" s="13"/>
      <c r="G9" s="13"/>
      <c r="H9" s="13">
        <f>H12</f>
        <v>17.8112</v>
      </c>
    </row>
    <row r="10" ht="22.8" customHeight="1" spans="1:8">
      <c r="A10" s="20" t="s">
        <v>395</v>
      </c>
      <c r="B10" s="20" t="s">
        <v>396</v>
      </c>
      <c r="C10" s="13">
        <f t="shared" si="0"/>
        <v>17.8112</v>
      </c>
      <c r="D10" s="13"/>
      <c r="E10" s="13"/>
      <c r="F10" s="13"/>
      <c r="G10" s="13"/>
      <c r="H10" s="13">
        <f>H12</f>
        <v>17.8112</v>
      </c>
    </row>
    <row r="11" ht="22.8" customHeight="1" spans="1:8">
      <c r="A11" s="20" t="s">
        <v>397</v>
      </c>
      <c r="B11" s="20" t="s">
        <v>398</v>
      </c>
      <c r="C11" s="13">
        <f t="shared" si="0"/>
        <v>17.8112</v>
      </c>
      <c r="D11" s="13"/>
      <c r="E11" s="13"/>
      <c r="F11" s="13"/>
      <c r="G11" s="13"/>
      <c r="H11" s="13">
        <f>H12</f>
        <v>17.8112</v>
      </c>
    </row>
    <row r="12" ht="22.8" customHeight="1" spans="1:8">
      <c r="A12" s="19" t="s">
        <v>399</v>
      </c>
      <c r="B12" s="19" t="s">
        <v>400</v>
      </c>
      <c r="C12" s="6">
        <f t="shared" si="0"/>
        <v>17.8112</v>
      </c>
      <c r="D12" s="6"/>
      <c r="E12" s="21"/>
      <c r="F12" s="21"/>
      <c r="G12" s="21"/>
      <c r="H12" s="21">
        <f>'1收支总表'!B32</f>
        <v>17.8112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部门：127044_益阳市赫山区龙岭学校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89.24382</v>
      </c>
      <c r="D7" s="13">
        <f>M8</f>
        <v>89.24382</v>
      </c>
      <c r="E7" s="13"/>
      <c r="F7" s="13"/>
      <c r="G7" s="13"/>
      <c r="H7" s="13"/>
      <c r="I7" s="13"/>
      <c r="J7" s="13"/>
      <c r="K7" s="13"/>
      <c r="L7" s="13"/>
      <c r="M7" s="13">
        <f>M8</f>
        <v>89.24382</v>
      </c>
      <c r="N7" s="14"/>
    </row>
    <row r="8" ht="22.8" customHeight="1" spans="1:14">
      <c r="A8" s="12">
        <f>'21财政专户管理资金'!$A$8</f>
        <v>127044</v>
      </c>
      <c r="B8" s="12" t="str">
        <f>'21财政专户管理资金'!B8</f>
        <v>益阳市赫山区龙岭学校</v>
      </c>
      <c r="C8" s="13">
        <f>D8</f>
        <v>89.24382</v>
      </c>
      <c r="D8" s="13">
        <f>M8</f>
        <v>89.24382</v>
      </c>
      <c r="E8" s="13"/>
      <c r="F8" s="13"/>
      <c r="G8" s="13"/>
      <c r="H8" s="13"/>
      <c r="I8" s="13"/>
      <c r="J8" s="13"/>
      <c r="K8" s="13"/>
      <c r="L8" s="13"/>
      <c r="M8" s="13">
        <f>SUM(M9:M28)</f>
        <v>89.24382</v>
      </c>
      <c r="N8" s="14"/>
    </row>
    <row r="9" ht="22.8" customHeight="1" spans="1:14">
      <c r="A9" s="8">
        <f>'21财政专户管理资金'!$A$8</f>
        <v>127044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127044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127044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127044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127044</v>
      </c>
      <c r="B13" s="19" t="s">
        <v>419</v>
      </c>
      <c r="C13" s="6">
        <f t="shared" si="0"/>
        <v>43.61</v>
      </c>
      <c r="D13" s="6">
        <f t="shared" si="1"/>
        <v>43.61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43.61</v>
      </c>
      <c r="N13" s="5"/>
    </row>
    <row r="14" ht="22.8" customHeight="1" spans="1:14">
      <c r="A14" s="8">
        <f>'21财政专户管理资金'!$A$8</f>
        <v>127044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127044</v>
      </c>
      <c r="B15" s="19" t="s">
        <v>421</v>
      </c>
      <c r="C15" s="6">
        <f t="shared" si="0"/>
        <v>41.05882</v>
      </c>
      <c r="D15" s="6">
        <f t="shared" si="1"/>
        <v>41.05882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41.05882</v>
      </c>
      <c r="N15" s="5"/>
    </row>
    <row r="16" ht="22.8" customHeight="1" spans="1:14">
      <c r="A16" s="8">
        <f>'21财政专户管理资金'!$A$8</f>
        <v>127044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127044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127044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127044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127044</v>
      </c>
      <c r="B20" s="19" t="s">
        <v>426</v>
      </c>
      <c r="C20" s="6">
        <f t="shared" si="0"/>
        <v>0.725</v>
      </c>
      <c r="D20" s="6">
        <f t="shared" si="1"/>
        <v>0.725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0.725</v>
      </c>
      <c r="N20" s="5"/>
    </row>
    <row r="21" ht="22.8" customHeight="1" spans="1:14">
      <c r="A21" s="8">
        <f>'21财政专户管理资金'!$A$8</f>
        <v>127044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127044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127044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127044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127044</v>
      </c>
      <c r="B25" s="19" t="s">
        <v>431</v>
      </c>
      <c r="C25" s="6">
        <f t="shared" si="0"/>
        <v>3.85</v>
      </c>
      <c r="D25" s="6">
        <f t="shared" si="1"/>
        <v>3.85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3.85</v>
      </c>
      <c r="N25" s="5"/>
    </row>
    <row r="26" ht="22.8" customHeight="1" spans="1:14">
      <c r="A26" s="8">
        <f>'21财政专户管理资金'!$A$8</f>
        <v>127044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127044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127044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部门：127044_益阳市赫山区龙岭学校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127044</v>
      </c>
      <c r="B6" s="12" t="str">
        <f>'22专项清单'!B8</f>
        <v>益阳市赫山区龙岭学校</v>
      </c>
      <c r="C6" s="13">
        <f>'22专项清单'!C7</f>
        <v>89.24382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127044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127044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127044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127044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127044</v>
      </c>
      <c r="B51" s="5" t="s">
        <v>419</v>
      </c>
      <c r="C51" s="6">
        <f>VLOOKUP(B51,'22专项清单'!B:C,2,0)</f>
        <v>43.61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127044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127044</v>
      </c>
      <c r="B73" s="5" t="s">
        <v>421</v>
      </c>
      <c r="C73" s="6">
        <f>VLOOKUP(B73,'22专项清单'!B:C,2,0)</f>
        <v>41.05882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127044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127044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127044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127044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127044</v>
      </c>
      <c r="B128" s="5" t="s">
        <v>426</v>
      </c>
      <c r="C128" s="6">
        <f>VLOOKUP(B128,'22专项清单'!B:C,2,0)</f>
        <v>0.725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127044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127044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127044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127044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127044</v>
      </c>
      <c r="B183" s="5" t="s">
        <v>431</v>
      </c>
      <c r="C183" s="6">
        <f>VLOOKUP(B183,'22专项清单'!B:C,2,0)</f>
        <v>3.85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127044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127044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127044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部门：127044_益阳市赫山区龙岭学校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127044</v>
      </c>
      <c r="B8" s="5" t="str">
        <f>'23项目支出绩效目标表'!B6</f>
        <v>益阳市赫山区龙岭学校</v>
      </c>
      <c r="C8" s="6">
        <f>D8+F8+G8</f>
        <v>429.69982</v>
      </c>
      <c r="D8" s="6">
        <f>'1收支总表'!B6</f>
        <v>368.27862</v>
      </c>
      <c r="E8" s="6"/>
      <c r="F8" s="6">
        <f>'1收支总表'!B23</f>
        <v>43.61</v>
      </c>
      <c r="G8" s="6">
        <f>'1收支总表'!B32</f>
        <v>17.8112</v>
      </c>
      <c r="H8" s="6">
        <f>'1收支总表'!F6</f>
        <v>340.456</v>
      </c>
      <c r="I8" s="6">
        <f>'1收支总表'!F10</f>
        <v>89.24382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62" t="s">
        <v>6</v>
      </c>
      <c r="B2" s="62"/>
      <c r="C2" s="62"/>
      <c r="D2" s="62"/>
      <c r="E2" s="62"/>
      <c r="F2" s="62"/>
      <c r="G2" s="62"/>
      <c r="H2" s="62"/>
    </row>
    <row r="3" ht="17.25" customHeight="1" spans="1:8">
      <c r="A3" s="11" t="str">
        <f>"部门："&amp;封面!E4&amp;"_"&amp;封面!E5</f>
        <v>部门：127044_益阳市赫山区龙岭学校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368.27862</v>
      </c>
      <c r="C6" s="5" t="s">
        <v>40</v>
      </c>
      <c r="D6" s="21"/>
      <c r="E6" s="14" t="s">
        <v>41</v>
      </c>
      <c r="F6" s="13">
        <f>SUM(F7:F9)</f>
        <v>340.456</v>
      </c>
      <c r="G6" s="5" t="s">
        <v>42</v>
      </c>
      <c r="H6" s="6">
        <f>F7</f>
        <v>333.405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>
        <f t="array" ref="F7">SUM(IF([2]Sheet1!$A:$A=封面!E5,[2]Sheet1!$K:$L,0))/10000</f>
        <v>333.405</v>
      </c>
      <c r="G7" s="5" t="s">
        <v>46</v>
      </c>
      <c r="H7" s="6">
        <f>F8+F12</f>
        <v>96.29482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>
        <f t="array" ref="F8">SUM(IF([2]Sheet1!$A:$A=封面!E5,[2]Sheet1!$P:$T,0))/10000</f>
        <v>7.051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>
        <f t="array" ref="F9">SUM(IF([2]Sheet1!$A:$A=封面!E5,[2]Sheet1!$N:$O,0))/10000</f>
        <v>0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411.88862</v>
      </c>
      <c r="E10" s="14" t="s">
        <v>57</v>
      </c>
      <c r="F10" s="13">
        <f>F12+F16</f>
        <v>89.24382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>
        <f t="array" ref="F12">SUM(IF([2]Sheet1!$A:$A=封面!E5,[2]Sheet1!$U:$AI,0))/10000</f>
        <v>89.24382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17.8112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0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43.61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17.8112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429.69982</v>
      </c>
      <c r="C37" s="14" t="s">
        <v>127</v>
      </c>
      <c r="D37" s="13">
        <f>D13+D10</f>
        <v>429.69982</v>
      </c>
      <c r="E37" s="14" t="s">
        <v>127</v>
      </c>
      <c r="F37" s="13">
        <f>F10+F6</f>
        <v>429.69982</v>
      </c>
      <c r="G37" s="14" t="s">
        <v>127</v>
      </c>
      <c r="H37" s="13">
        <f>H14+H8+H7+H6</f>
        <v>429.69982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429.69982</v>
      </c>
      <c r="C40" s="14" t="s">
        <v>131</v>
      </c>
      <c r="D40" s="13">
        <f>D37</f>
        <v>429.69982</v>
      </c>
      <c r="E40" s="14" t="s">
        <v>131</v>
      </c>
      <c r="F40" s="13">
        <f>F37</f>
        <v>429.69982</v>
      </c>
      <c r="G40" s="14" t="s">
        <v>131</v>
      </c>
      <c r="H40" s="13">
        <f>H37</f>
        <v>429.69982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I5" sqref="I5:I6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部门：127044_益阳市赫山区龙岭学校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429.69982</v>
      </c>
      <c r="D7" s="28">
        <f>D8</f>
        <v>429.69982</v>
      </c>
      <c r="E7" s="28">
        <f>E9</f>
        <v>368.27862</v>
      </c>
      <c r="F7" s="28"/>
      <c r="G7" s="28"/>
      <c r="H7" s="28"/>
      <c r="I7" s="28">
        <f>I9</f>
        <v>43.61</v>
      </c>
      <c r="J7" s="28"/>
      <c r="K7" s="28"/>
      <c r="L7" s="28"/>
      <c r="M7" s="28"/>
      <c r="N7" s="28"/>
      <c r="O7" s="28"/>
      <c r="P7" s="28"/>
      <c r="Q7" s="28"/>
      <c r="R7" s="28">
        <f>R9</f>
        <v>17.8112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127044</v>
      </c>
      <c r="B8" s="12" t="str">
        <f>B9</f>
        <v>益阳市赫山区龙岭学校</v>
      </c>
      <c r="C8" s="28">
        <f>C9</f>
        <v>429.69982</v>
      </c>
      <c r="D8" s="28">
        <f>D9</f>
        <v>429.69982</v>
      </c>
      <c r="E8" s="28">
        <f>E9</f>
        <v>368.27862</v>
      </c>
      <c r="F8" s="28"/>
      <c r="G8" s="28"/>
      <c r="H8" s="28"/>
      <c r="I8" s="28">
        <f>I9</f>
        <v>43.61</v>
      </c>
      <c r="J8" s="28"/>
      <c r="K8" s="28"/>
      <c r="L8" s="28"/>
      <c r="M8" s="28"/>
      <c r="N8" s="28"/>
      <c r="O8" s="28"/>
      <c r="P8" s="28"/>
      <c r="Q8" s="28"/>
      <c r="R8" s="28">
        <f>R9</f>
        <v>17.8112</v>
      </c>
      <c r="S8" s="28"/>
      <c r="T8" s="28"/>
      <c r="U8" s="28"/>
      <c r="V8" s="28"/>
      <c r="W8" s="28"/>
      <c r="X8" s="28"/>
      <c r="Y8" s="28"/>
    </row>
    <row r="9" ht="22.8" customHeight="1" spans="1:25">
      <c r="A9" s="60">
        <f>封面!E4</f>
        <v>127044</v>
      </c>
      <c r="B9" s="60" t="str">
        <f>封面!E5</f>
        <v>益阳市赫山区龙岭学校</v>
      </c>
      <c r="C9" s="21">
        <f>D9</f>
        <v>429.69982</v>
      </c>
      <c r="D9" s="21">
        <f>E9+I9+R9</f>
        <v>429.69982</v>
      </c>
      <c r="E9" s="6">
        <f>'1收支总表'!B6</f>
        <v>368.27862</v>
      </c>
      <c r="F9" s="6"/>
      <c r="G9" s="6"/>
      <c r="H9" s="6"/>
      <c r="I9" s="61">
        <f>'1收支总表'!B23</f>
        <v>43.61</v>
      </c>
      <c r="J9" s="6"/>
      <c r="K9" s="6"/>
      <c r="L9" s="6"/>
      <c r="M9" s="6"/>
      <c r="N9" s="6"/>
      <c r="O9" s="6"/>
      <c r="P9" s="6"/>
      <c r="Q9" s="6"/>
      <c r="R9" s="46">
        <f>'1收支总表'!B32</f>
        <v>17.8112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F8" sqref="F8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8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9" t="str">
        <f>'1收支总表'!A3</f>
        <v>部门：127044_益阳市赫山区龙岭学校</v>
      </c>
      <c r="B3" s="49"/>
      <c r="C3" s="49"/>
      <c r="D3" s="49"/>
      <c r="E3" s="49"/>
      <c r="F3" s="49"/>
      <c r="G3" s="49"/>
      <c r="H3" s="49"/>
      <c r="I3" s="49"/>
      <c r="J3" s="49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50" t="s">
        <v>135</v>
      </c>
      <c r="E6" s="50"/>
      <c r="F6" s="51">
        <f>'1收支总表'!B37</f>
        <v>429.69982</v>
      </c>
      <c r="G6" s="51">
        <f>G7</f>
        <v>340.456</v>
      </c>
      <c r="H6" s="51">
        <f>H7</f>
        <v>89.24382</v>
      </c>
      <c r="I6" s="51"/>
      <c r="J6" s="50"/>
      <c r="K6" s="50"/>
    </row>
    <row r="7" ht="22.8" customHeight="1" spans="1:11">
      <c r="A7" s="52"/>
      <c r="B7" s="52"/>
      <c r="C7" s="52"/>
      <c r="D7" s="53">
        <f>封面!E4</f>
        <v>127044</v>
      </c>
      <c r="E7" s="53" t="str">
        <f>封面!E5</f>
        <v>益阳市赫山区龙岭学校</v>
      </c>
      <c r="F7" s="54">
        <f>G7+H7</f>
        <v>429.69982</v>
      </c>
      <c r="G7" s="54">
        <f>G8</f>
        <v>340.456</v>
      </c>
      <c r="H7" s="54">
        <f>H8</f>
        <v>89.24382</v>
      </c>
      <c r="I7" s="54"/>
      <c r="J7" s="59"/>
      <c r="K7" s="59"/>
    </row>
    <row r="8" ht="22.8" customHeight="1" spans="1:11">
      <c r="A8" s="52"/>
      <c r="B8" s="52"/>
      <c r="C8" s="52"/>
      <c r="D8" s="53">
        <f>D7</f>
        <v>127044</v>
      </c>
      <c r="E8" s="53" t="str">
        <f>E7</f>
        <v>益阳市赫山区龙岭学校</v>
      </c>
      <c r="F8" s="54">
        <f>G8+H8</f>
        <v>429.69982</v>
      </c>
      <c r="G8" s="54">
        <f>G11+G13</f>
        <v>340.456</v>
      </c>
      <c r="H8" s="54">
        <f>H9+H10+H11+H12</f>
        <v>89.24382</v>
      </c>
      <c r="I8" s="54"/>
      <c r="J8" s="59"/>
      <c r="K8" s="59"/>
    </row>
    <row r="9" ht="22.8" customHeight="1" spans="1:11">
      <c r="A9" s="55" t="s">
        <v>165</v>
      </c>
      <c r="B9" s="55" t="s">
        <v>166</v>
      </c>
      <c r="C9" s="55" t="s">
        <v>167</v>
      </c>
      <c r="D9" s="56" t="s">
        <v>168</v>
      </c>
      <c r="E9" s="57" t="s">
        <v>169</v>
      </c>
      <c r="F9" s="58">
        <v>0</v>
      </c>
      <c r="G9" s="58"/>
      <c r="H9" s="58">
        <v>0</v>
      </c>
      <c r="I9" s="58"/>
      <c r="J9" s="57"/>
      <c r="K9" s="57"/>
    </row>
    <row r="10" ht="22.8" customHeight="1" spans="1:11">
      <c r="A10" s="55" t="s">
        <v>165</v>
      </c>
      <c r="B10" s="55" t="s">
        <v>170</v>
      </c>
      <c r="C10" s="55" t="s">
        <v>166</v>
      </c>
      <c r="D10" s="56" t="s">
        <v>171</v>
      </c>
      <c r="E10" s="57" t="s">
        <v>172</v>
      </c>
      <c r="F10" s="58">
        <v>0</v>
      </c>
      <c r="G10" s="58"/>
      <c r="H10" s="58">
        <v>0</v>
      </c>
      <c r="I10" s="58"/>
      <c r="J10" s="57"/>
      <c r="K10" s="57"/>
    </row>
    <row r="11" ht="22.8" customHeight="1" spans="1:11">
      <c r="A11" s="55" t="s">
        <v>165</v>
      </c>
      <c r="B11" s="55" t="s">
        <v>170</v>
      </c>
      <c r="C11" s="55" t="s">
        <v>167</v>
      </c>
      <c r="D11" s="56" t="s">
        <v>173</v>
      </c>
      <c r="E11" s="57" t="s">
        <v>174</v>
      </c>
      <c r="F11" s="58">
        <f>G11+H11</f>
        <v>411.88862</v>
      </c>
      <c r="G11" s="58">
        <f>F6-H11-G13</f>
        <v>322.6448</v>
      </c>
      <c r="H11" s="58">
        <f>'1收支总表'!F10</f>
        <v>89.24382</v>
      </c>
      <c r="I11" s="58"/>
      <c r="J11" s="57"/>
      <c r="K11" s="57"/>
    </row>
    <row r="12" ht="22.8" customHeight="1" spans="1:11">
      <c r="A12" s="55" t="s">
        <v>165</v>
      </c>
      <c r="B12" s="55" t="s">
        <v>175</v>
      </c>
      <c r="C12" s="55" t="s">
        <v>170</v>
      </c>
      <c r="D12" s="56" t="s">
        <v>176</v>
      </c>
      <c r="E12" s="57" t="s">
        <v>177</v>
      </c>
      <c r="F12" s="58">
        <v>0</v>
      </c>
      <c r="G12" s="58"/>
      <c r="H12" s="58">
        <v>0</v>
      </c>
      <c r="I12" s="58"/>
      <c r="J12" s="57"/>
      <c r="K12" s="57"/>
    </row>
    <row r="13" ht="22.8" customHeight="1" spans="1:11">
      <c r="A13" s="55" t="s">
        <v>178</v>
      </c>
      <c r="B13" s="55" t="s">
        <v>179</v>
      </c>
      <c r="C13" s="55" t="s">
        <v>180</v>
      </c>
      <c r="D13" s="56" t="s">
        <v>181</v>
      </c>
      <c r="E13" s="57" t="s">
        <v>182</v>
      </c>
      <c r="F13" s="58">
        <f>G13</f>
        <v>17.8112</v>
      </c>
      <c r="G13" s="58">
        <f>'1收支总表'!B32</f>
        <v>17.8112</v>
      </c>
      <c r="H13" s="58"/>
      <c r="I13" s="58"/>
      <c r="J13" s="57"/>
      <c r="K13" s="57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G7" sqref="G7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部门：127044_益阳市赫山区龙岭学校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429.69982</v>
      </c>
      <c r="G6" s="13">
        <f>G8</f>
        <v>333.405</v>
      </c>
      <c r="H6" s="13">
        <f>H7</f>
        <v>96.29482</v>
      </c>
      <c r="I6" s="13">
        <f>I8</f>
        <v>0</v>
      </c>
      <c r="J6" s="13"/>
      <c r="K6" s="13"/>
      <c r="L6" s="13"/>
      <c r="M6" s="13"/>
      <c r="N6" s="13"/>
      <c r="O6" s="13">
        <f>O9</f>
        <v>0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127044</v>
      </c>
      <c r="E7" s="12" t="str">
        <f>'3支出总表'!E7</f>
        <v>益阳市赫山区龙岭学校</v>
      </c>
      <c r="F7" s="13">
        <f>F8</f>
        <v>429.69982</v>
      </c>
      <c r="G7" s="13">
        <f>G8</f>
        <v>333.405</v>
      </c>
      <c r="H7" s="13">
        <f>H8</f>
        <v>96.29482</v>
      </c>
      <c r="I7" s="13">
        <f>I8</f>
        <v>0</v>
      </c>
      <c r="J7" s="13"/>
      <c r="K7" s="13"/>
      <c r="L7" s="13"/>
      <c r="M7" s="13"/>
      <c r="N7" s="13"/>
      <c r="O7" s="13">
        <f>O8</f>
        <v>0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127044</v>
      </c>
      <c r="E8" s="20" t="str">
        <f>E7</f>
        <v>益阳市赫山区龙岭学校</v>
      </c>
      <c r="F8" s="47">
        <f>F9+F10</f>
        <v>429.69982</v>
      </c>
      <c r="G8" s="47">
        <f>G9+G10</f>
        <v>333.405</v>
      </c>
      <c r="H8" s="47">
        <f>H9</f>
        <v>96.29482</v>
      </c>
      <c r="I8" s="47">
        <f>I9</f>
        <v>0</v>
      </c>
      <c r="J8" s="47"/>
      <c r="K8" s="47"/>
      <c r="L8" s="47"/>
      <c r="M8" s="47"/>
      <c r="N8" s="47"/>
      <c r="O8" s="47">
        <f>O9</f>
        <v>0</v>
      </c>
      <c r="P8" s="47"/>
      <c r="Q8" s="47"/>
      <c r="R8" s="47"/>
      <c r="S8" s="47"/>
      <c r="T8" s="47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127044</v>
      </c>
      <c r="E9" s="24" t="s">
        <v>174</v>
      </c>
      <c r="F9" s="25">
        <f>G9+H9+O9</f>
        <v>411.88862</v>
      </c>
      <c r="G9" s="25">
        <f>F6-G10-O9-H9</f>
        <v>315.5938</v>
      </c>
      <c r="H9" s="25">
        <f>'1收支总表'!H7</f>
        <v>96.29482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0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127044</v>
      </c>
      <c r="E10" s="24" t="s">
        <v>182</v>
      </c>
      <c r="F10" s="25">
        <f>G10</f>
        <v>17.8112</v>
      </c>
      <c r="G10" s="25">
        <f>'1收支总表'!D13</f>
        <v>17.8112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127044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127044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127044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tabSelected="1" workbookViewId="0">
      <selection activeCell="M9" sqref="M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部门：127044_益阳市赫山区龙岭学校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429.69982</v>
      </c>
      <c r="G6" s="13">
        <f>H6+I6+J6</f>
        <v>340.456</v>
      </c>
      <c r="H6" s="13">
        <f>H8</f>
        <v>333.405</v>
      </c>
      <c r="I6" s="13">
        <f>I9</f>
        <v>7.051</v>
      </c>
      <c r="J6" s="13">
        <f>J9</f>
        <v>0</v>
      </c>
      <c r="K6" s="13">
        <f>K9</f>
        <v>89.24382</v>
      </c>
      <c r="L6" s="13"/>
      <c r="M6" s="13">
        <f>M9</f>
        <v>89.24382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127044</v>
      </c>
      <c r="E7" s="12" t="str">
        <f>'4支出分类(政府预算)'!E7</f>
        <v>益阳市赫山区龙岭学校</v>
      </c>
      <c r="F7" s="28">
        <f>G7+K7</f>
        <v>429.69982</v>
      </c>
      <c r="G7" s="13">
        <f>H7+I7+J7</f>
        <v>340.456</v>
      </c>
      <c r="H7" s="13">
        <f>H8</f>
        <v>333.405</v>
      </c>
      <c r="I7" s="13">
        <f>I9</f>
        <v>7.051</v>
      </c>
      <c r="J7" s="13">
        <f>J9</f>
        <v>0</v>
      </c>
      <c r="K7" s="13">
        <f>K9</f>
        <v>89.24382</v>
      </c>
      <c r="L7" s="13"/>
      <c r="M7" s="13">
        <f>M9</f>
        <v>89.24382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127044</v>
      </c>
      <c r="E8" s="20" t="str">
        <f>E7</f>
        <v>益阳市赫山区龙岭学校</v>
      </c>
      <c r="F8" s="28">
        <f>G8+K8</f>
        <v>429.69982</v>
      </c>
      <c r="G8" s="43">
        <f>H8+I8+J8</f>
        <v>340.456</v>
      </c>
      <c r="H8" s="44">
        <f>H9+H10</f>
        <v>333.405</v>
      </c>
      <c r="I8" s="13">
        <f>I9</f>
        <v>7.051</v>
      </c>
      <c r="J8" s="13">
        <f>J9</f>
        <v>0</v>
      </c>
      <c r="K8" s="13">
        <f>K9</f>
        <v>89.24382</v>
      </c>
      <c r="L8" s="13"/>
      <c r="M8" s="13">
        <f>M9</f>
        <v>89.24382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127044</v>
      </c>
      <c r="E9" s="24" t="s">
        <v>174</v>
      </c>
      <c r="F9" s="21">
        <f>G9+K9</f>
        <v>411.88862</v>
      </c>
      <c r="G9" s="45">
        <f>H9+I9+J9</f>
        <v>322.6448</v>
      </c>
      <c r="H9" s="46">
        <f>'1收支总表'!F7-H10</f>
        <v>315.5938</v>
      </c>
      <c r="I9" s="45">
        <f>'1收支总表'!F8</f>
        <v>7.051</v>
      </c>
      <c r="J9" s="6">
        <f>'1收支总表'!F9</f>
        <v>0</v>
      </c>
      <c r="K9" s="6">
        <f>M9+Q9</f>
        <v>89.24382</v>
      </c>
      <c r="L9" s="6"/>
      <c r="M9" s="45">
        <f>'1收支总表'!F12</f>
        <v>89.24382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127044</v>
      </c>
      <c r="E10" s="24" t="s">
        <v>182</v>
      </c>
      <c r="F10" s="21">
        <f>G10</f>
        <v>17.8112</v>
      </c>
      <c r="G10" s="6">
        <f>H10</f>
        <v>17.8112</v>
      </c>
      <c r="H10" s="6">
        <f>'1收支总表'!D13</f>
        <v>17.8112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127044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127044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127044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部门：127044_益阳市赫山区龙岭学校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368.27862</v>
      </c>
      <c r="C6" s="14" t="s">
        <v>213</v>
      </c>
      <c r="D6" s="28">
        <f>B6</f>
        <v>368.27862</v>
      </c>
      <c r="E6" s="7"/>
    </row>
    <row r="7" ht="20.2" customHeight="1" spans="1:5">
      <c r="A7" s="5" t="s">
        <v>214</v>
      </c>
      <c r="B7" s="6">
        <f>'1收支总表'!B6</f>
        <v>368.27862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368.27862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368.27862</v>
      </c>
      <c r="C40" s="18" t="s">
        <v>222</v>
      </c>
      <c r="D40" s="28">
        <f>B40</f>
        <v>368.27862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部门：127044_益阳市赫山区龙岭学校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368.27862</v>
      </c>
      <c r="D8" s="37">
        <f>D9</f>
        <v>322.6448</v>
      </c>
      <c r="E8" s="37">
        <f>E9</f>
        <v>315.5938</v>
      </c>
      <c r="F8" s="37">
        <f>F14</f>
        <v>0</v>
      </c>
      <c r="G8" s="37"/>
      <c r="H8" s="37">
        <f>H12</f>
        <v>7.051</v>
      </c>
      <c r="I8" s="37">
        <f>I12</f>
        <v>45.63382</v>
      </c>
    </row>
    <row r="9" ht="26.05" customHeight="1" spans="1:9">
      <c r="A9" s="29">
        <f>'5支出分类（部门预算）'!D7</f>
        <v>127044</v>
      </c>
      <c r="B9" s="29" t="str">
        <f>'5支出分类（部门预算）'!E7</f>
        <v>益阳市赫山区龙岭学校</v>
      </c>
      <c r="C9" s="37">
        <f>C10</f>
        <v>368.27862</v>
      </c>
      <c r="D9" s="37">
        <f>D10</f>
        <v>322.6448</v>
      </c>
      <c r="E9" s="37">
        <f>E10</f>
        <v>315.5938</v>
      </c>
      <c r="F9" s="37">
        <f>F14</f>
        <v>0</v>
      </c>
      <c r="G9" s="37"/>
      <c r="H9" s="37">
        <f>H12</f>
        <v>7.051</v>
      </c>
      <c r="I9" s="37">
        <f>I12</f>
        <v>45.63382</v>
      </c>
    </row>
    <row r="10" ht="26.05" customHeight="1" spans="1:9">
      <c r="A10" s="38">
        <f>A9</f>
        <v>127044</v>
      </c>
      <c r="B10" s="38" t="str">
        <f>B9</f>
        <v>益阳市赫山区龙岭学校</v>
      </c>
      <c r="C10" s="37">
        <f>C11</f>
        <v>368.27862</v>
      </c>
      <c r="D10" s="37">
        <f>D11</f>
        <v>322.6448</v>
      </c>
      <c r="E10" s="37">
        <f>E12</f>
        <v>315.5938</v>
      </c>
      <c r="F10" s="37">
        <f>F14</f>
        <v>0</v>
      </c>
      <c r="G10" s="37"/>
      <c r="H10" s="37">
        <f>H12</f>
        <v>7.051</v>
      </c>
      <c r="I10" s="37">
        <f>I12</f>
        <v>45.63382</v>
      </c>
    </row>
    <row r="11" ht="25.85" customHeight="1" spans="1:9">
      <c r="A11" s="38" t="s">
        <v>165</v>
      </c>
      <c r="B11" s="29" t="s">
        <v>226</v>
      </c>
      <c r="C11" s="37">
        <f>C12</f>
        <v>368.27862</v>
      </c>
      <c r="D11" s="37">
        <f>D12</f>
        <v>322.6448</v>
      </c>
      <c r="E11" s="37">
        <f>E12</f>
        <v>315.5938</v>
      </c>
      <c r="F11" s="37">
        <f>F14</f>
        <v>0</v>
      </c>
      <c r="G11" s="37"/>
      <c r="H11" s="37">
        <f>H12</f>
        <v>7.051</v>
      </c>
      <c r="I11" s="37">
        <f>I12</f>
        <v>45.63382</v>
      </c>
    </row>
    <row r="12" ht="26.7" customHeight="1" spans="1:9">
      <c r="A12" s="38" t="s">
        <v>227</v>
      </c>
      <c r="B12" s="29" t="s">
        <v>228</v>
      </c>
      <c r="C12" s="37">
        <f>C14</f>
        <v>368.27862</v>
      </c>
      <c r="D12" s="37">
        <f>D14</f>
        <v>322.6448</v>
      </c>
      <c r="E12" s="37">
        <f>E14</f>
        <v>315.5938</v>
      </c>
      <c r="F12" s="37">
        <f>F14</f>
        <v>0</v>
      </c>
      <c r="G12" s="37"/>
      <c r="H12" s="37">
        <f>H14</f>
        <v>7.051</v>
      </c>
      <c r="I12" s="37">
        <f>I14</f>
        <v>45.63382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368.27862</v>
      </c>
      <c r="D14" s="39">
        <f>E14+F14+H14</f>
        <v>322.6448</v>
      </c>
      <c r="E14" s="40">
        <f>VLOOKUP(封面!E5,[2]Sheet1!$A:$K,11,0)/10000</f>
        <v>315.5938</v>
      </c>
      <c r="F14" s="40">
        <f t="array" ref="F14">SUM(IF([2]Sheet1!$A:$A=封面!E5,[2]Sheet1!$N:$O,0))/10000</f>
        <v>0</v>
      </c>
      <c r="G14" s="40"/>
      <c r="H14" s="40">
        <f t="array" ref="H14">SUM(IF([2]Sheet1!$A:$A=封面!E5,[2]Sheet1!$P:$T,0))/10000</f>
        <v>7.051</v>
      </c>
      <c r="I14" s="40">
        <f t="array" ref="I14">SUM(IF([2]Sheet1!$A:$A=封面!E5,[2]Sheet1!$U:$AH,0))/10000</f>
        <v>45.63382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2024-10-14T14:42:00Z</dcterms:created>
  <dcterms:modified xsi:type="dcterms:W3CDTF">2024-10-20T08:04:07Z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180ECB945B414D9B806A233842737DB3_13</vt:lpwstr>
  </property>
  <property fmtid="{D5CDD505-2E9C-101B-9397-08002B2CF9AE}" pid="3" name="KSOProductBuildVer">
    <vt:lpwstr>2052-12.1.0.16929</vt:lpwstr>
  </property>
</Properties>
</file>