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735" activeTab="7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<sst xmlns="http://schemas.openxmlformats.org/spreadsheetml/2006/main" count="1627" uniqueCount="569">
  <si>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</si>
  <si>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</si>
  <si>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</si>
  <si>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益阳市综合中专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</si>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</sst>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5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sz val="7"/>
      <color rgb="FFFF0000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67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4" fontId="11" fillId="0" borderId="1" xfId="0" applyNumberFormat="1" applyFont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heetMetadata" Target="metadata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G13" sqref="G13"/>
    </sheetView>
  </sheetViews>
  <sheetFormatPr defaultColWidth="10" defaultRowHeight="14.4" outlineLevelRow="7"/>
  <cols>
    <col min="1" max="1" width="3.66666666666667" customWidth="1"/>
    <col min="2" max="2" width="3.7962962962963" customWidth="1"/>
    <col min="3" max="3" width="4.62037037037037" customWidth="1"/>
    <col min="4" max="4" width="19.2685185185185" customWidth="1"/>
    <col min="5" max="10" width="9.76851851851852" customWidth="1"/>
  </cols>
  <sheetData>
    <row r="1" ht="73.3" customHeight="1" spans="1:9">
      <c r="A1" s="64" t="s">
        <v>0</v>
      </c>
      <c r="B1" s="64"/>
      <c r="C1" s="64"/>
      <c r="D1" s="64"/>
      <c r="E1" s="64"/>
      <c r="F1" s="64"/>
      <c r="G1" s="64"/>
      <c r="H1" s="64"/>
      <c r="I1" s="64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5"/>
      <c r="B4" s="66"/>
      <c r="C4" s="1"/>
      <c r="D4" s="65" t="s">
        <v>1</v>
      </c>
      <c r="E4" s="66">
        <f>VLOOKUP(E5,[1]Sheet1!$F:$G,2,0)</f>
        <v>127025</v>
      </c>
      <c r="F4" s="66"/>
      <c r="G4" s="66"/>
      <c r="H4" s="66"/>
      <c r="I4" s="1"/>
    </row>
    <row r="5" ht="54.3" customHeight="1" spans="1:9">
      <c r="A5" s="65"/>
      <c r="B5" s="66"/>
      <c r="C5" s="1"/>
      <c r="D5" s="65" t="s">
        <v>2</v>
      </c>
      <c r="E5" s="66" t="s">
        <v>3</v>
      </c>
      <c r="F5" s="66"/>
      <c r="G5" s="66"/>
      <c r="H5" s="66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A3" sqref="A3:A4"/>
    </sheetView>
  </sheetViews>
  <sheetFormatPr defaultColWidth="10" defaultRowHeight="14.4" outlineLevelCol="4"/>
  <cols>
    <col min="1" max="1" width="13.9722222222222" customWidth="1"/>
    <col min="2" max="2" width="29.5833333333333" customWidth="1"/>
    <col min="3" max="3" width="9.76851851851852" customWidth="1"/>
    <col min="4" max="5" width="15.6111111111111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部门：127025_益阳市综合中专</v>
      </c>
      <c r="B2" s="11"/>
      <c r="C2" s="11"/>
      <c r="D2" s="1"/>
      <c r="E2" s="16" t="s">
        <v>31</v>
      </c>
    </row>
    <row r="3" ht="19.8" customHeight="1" spans="1:5">
      <c r="A3" s="29" t="s">
        <v>155</v>
      </c>
      <c r="B3" s="29" t="s">
        <v>156</v>
      </c>
      <c r="C3" s="29" t="s">
        <v>157</v>
      </c>
      <c r="D3" s="29"/>
      <c r="E3" s="29"/>
    </row>
    <row r="4" ht="21.55" customHeight="1" spans="1:5">
      <c r="A4" s="29"/>
      <c r="B4" s="29"/>
      <c r="C4" s="29" t="s">
        <v>135</v>
      </c>
      <c r="D4" s="29" t="s">
        <v>223</v>
      </c>
      <c r="E4" s="29" t="s">
        <v>225</v>
      </c>
    </row>
    <row r="5" ht="19.55" customHeight="1" spans="1:5">
      <c r="A5" s="37" t="s">
        <v>241</v>
      </c>
      <c r="B5" s="37" t="s">
        <v>241</v>
      </c>
      <c r="C5" s="37">
        <v>1</v>
      </c>
      <c r="D5" s="37">
        <v>2</v>
      </c>
      <c r="E5" s="37">
        <v>3</v>
      </c>
    </row>
    <row r="6" ht="19.55" customHeight="1" spans="1:5">
      <c r="A6" s="30"/>
      <c r="B6" s="30" t="s">
        <v>135</v>
      </c>
      <c r="C6" s="35">
        <f>D6+E6</f>
        <v>670.1484</v>
      </c>
      <c r="D6" s="35">
        <f>D7+D31</f>
        <v>656.3869</v>
      </c>
      <c r="E6" s="35">
        <f>E16</f>
        <v>13.7615</v>
      </c>
    </row>
    <row r="7" ht="19.55" customHeight="1" spans="1:5">
      <c r="A7" s="32" t="s">
        <v>242</v>
      </c>
      <c r="B7" s="32" t="s">
        <v>203</v>
      </c>
      <c r="C7" s="35">
        <f t="shared" ref="C7:C15" si="0">D7</f>
        <v>655.5589</v>
      </c>
      <c r="D7" s="35">
        <f>SUM(D8:D15)</f>
        <v>655.5589</v>
      </c>
      <c r="E7" s="35"/>
    </row>
    <row r="8" ht="19.55" customHeight="1" spans="1:5">
      <c r="A8" s="38" t="s">
        <v>243</v>
      </c>
      <c r="B8" s="38" t="s">
        <v>244</v>
      </c>
      <c r="C8" s="39">
        <f t="shared" si="0"/>
        <v>276.4416</v>
      </c>
      <c r="D8" s="39">
        <f>VLOOKUP(封面!E5,[2]Sheet1!$A:$B,2,0)/10000</f>
        <v>276.4416</v>
      </c>
      <c r="E8" s="39"/>
    </row>
    <row r="9" ht="19.55" customHeight="1" spans="1:5">
      <c r="A9" s="38" t="s">
        <v>245</v>
      </c>
      <c r="B9" s="38" t="s">
        <v>246</v>
      </c>
      <c r="C9" s="39">
        <f t="shared" si="0"/>
        <v>0</v>
      </c>
      <c r="D9" s="39">
        <f>VLOOKUP(封面!E5,[2]Sheet1!$A:$C,3,0)/10000</f>
        <v>0</v>
      </c>
      <c r="E9" s="39"/>
    </row>
    <row r="10" ht="19.55" customHeight="1" spans="1:5">
      <c r="A10" s="38" t="s">
        <v>247</v>
      </c>
      <c r="B10" s="38" t="s">
        <v>248</v>
      </c>
      <c r="C10" s="39">
        <f t="shared" si="0"/>
        <v>0</v>
      </c>
      <c r="D10" s="39">
        <f>VLOOKUP(封面!E5,[2]Sheet1!$A:$D,4,0)/10000</f>
        <v>0</v>
      </c>
      <c r="E10" s="39"/>
    </row>
    <row r="11" ht="19.55" customHeight="1" spans="1:5">
      <c r="A11" s="38" t="s">
        <v>249</v>
      </c>
      <c r="B11" s="38" t="s">
        <v>250</v>
      </c>
      <c r="C11" s="39">
        <f t="shared" si="0"/>
        <v>164.64</v>
      </c>
      <c r="D11" s="39">
        <f>VLOOKUP(封面!E5,[2]Sheet1!$A:$F,6,0)/10000</f>
        <v>164.64</v>
      </c>
      <c r="E11" s="39"/>
    </row>
    <row r="12" ht="19.55" customHeight="1" spans="1:5">
      <c r="A12" s="38" t="s">
        <v>251</v>
      </c>
      <c r="B12" s="38" t="s">
        <v>252</v>
      </c>
      <c r="C12" s="39">
        <f t="shared" si="0"/>
        <v>71.3716</v>
      </c>
      <c r="D12" s="39">
        <f>VLOOKUP(封面!E5,[2]Sheet1!$A:$G,7,0)/10000</f>
        <v>71.3716</v>
      </c>
      <c r="E12" s="39"/>
    </row>
    <row r="13" ht="19.55" customHeight="1" spans="1:5">
      <c r="A13" s="38" t="s">
        <v>253</v>
      </c>
      <c r="B13" s="38" t="s">
        <v>254</v>
      </c>
      <c r="C13" s="39">
        <f t="shared" si="0"/>
        <v>55.5512</v>
      </c>
      <c r="D13" s="39">
        <f>VLOOKUP(封面!E5,[2]Sheet1!$A:$H,8,0)/10000</f>
        <v>55.5512</v>
      </c>
      <c r="E13" s="39"/>
    </row>
    <row r="14" ht="19.55" customHeight="1" spans="1:5">
      <c r="A14" s="38" t="s">
        <v>255</v>
      </c>
      <c r="B14" s="38" t="s">
        <v>256</v>
      </c>
      <c r="C14" s="39">
        <f t="shared" si="0"/>
        <v>53.5225</v>
      </c>
      <c r="D14" s="39">
        <f>VLOOKUP(封面!E5,[2]Sheet1!$A:$I,9,0)/10000</f>
        <v>53.5225</v>
      </c>
      <c r="E14" s="39"/>
    </row>
    <row r="15" ht="19.55" customHeight="1" spans="1:5">
      <c r="A15" s="38" t="s">
        <v>257</v>
      </c>
      <c r="B15" s="38" t="s">
        <v>258</v>
      </c>
      <c r="C15" s="39">
        <f t="shared" si="0"/>
        <v>34.032</v>
      </c>
      <c r="D15" s="39">
        <f>VLOOKUP(封面!E5,[2]Sheet1!$A:$J,10,0)/10000</f>
        <v>34.032</v>
      </c>
      <c r="E15" s="39"/>
    </row>
    <row r="16" ht="19.55" customHeight="1" spans="1:5">
      <c r="A16" s="32" t="s">
        <v>259</v>
      </c>
      <c r="B16" s="32" t="s">
        <v>224</v>
      </c>
      <c r="C16" s="35">
        <f>C28+C29</f>
        <v>13.7615</v>
      </c>
      <c r="D16" s="35"/>
      <c r="E16" s="35">
        <f>E28+E29</f>
        <v>13.7615</v>
      </c>
    </row>
    <row r="17" ht="19.55" customHeight="1" spans="1:5">
      <c r="A17" s="38" t="s">
        <v>260</v>
      </c>
      <c r="B17" s="38" t="s">
        <v>261</v>
      </c>
      <c r="C17" s="39">
        <v>0</v>
      </c>
      <c r="D17" s="39"/>
      <c r="E17" s="39">
        <v>0</v>
      </c>
    </row>
    <row r="18" ht="19.55" customHeight="1" spans="1:5">
      <c r="A18" s="38" t="s">
        <v>262</v>
      </c>
      <c r="B18" s="38" t="s">
        <v>263</v>
      </c>
      <c r="C18" s="39">
        <v>0</v>
      </c>
      <c r="D18" s="39"/>
      <c r="E18" s="39">
        <v>0</v>
      </c>
    </row>
    <row r="19" ht="19.55" customHeight="1" spans="1:5">
      <c r="A19" s="38" t="s">
        <v>264</v>
      </c>
      <c r="B19" s="38" t="s">
        <v>265</v>
      </c>
      <c r="C19" s="39">
        <v>0</v>
      </c>
      <c r="D19" s="39"/>
      <c r="E19" s="39">
        <v>0</v>
      </c>
    </row>
    <row r="20" ht="19.55" customHeight="1" spans="1:5">
      <c r="A20" s="38" t="s">
        <v>266</v>
      </c>
      <c r="B20" s="38" t="s">
        <v>267</v>
      </c>
      <c r="C20" s="39">
        <v>0</v>
      </c>
      <c r="D20" s="39"/>
      <c r="E20" s="39">
        <v>0</v>
      </c>
    </row>
    <row r="21" ht="19.55" customHeight="1" spans="1:5">
      <c r="A21" s="38" t="s">
        <v>268</v>
      </c>
      <c r="B21" s="38" t="s">
        <v>269</v>
      </c>
      <c r="C21" s="39">
        <v>0</v>
      </c>
      <c r="D21" s="39"/>
      <c r="E21" s="39">
        <v>0</v>
      </c>
    </row>
    <row r="22" ht="19.55" customHeight="1" spans="1:5">
      <c r="A22" s="38" t="s">
        <v>270</v>
      </c>
      <c r="B22" s="38" t="s">
        <v>271</v>
      </c>
      <c r="C22" s="39">
        <v>0</v>
      </c>
      <c r="D22" s="39"/>
      <c r="E22" s="39">
        <v>0</v>
      </c>
    </row>
    <row r="23" ht="19.55" customHeight="1" spans="1:5">
      <c r="A23" s="38" t="s">
        <v>272</v>
      </c>
      <c r="B23" s="38" t="s">
        <v>273</v>
      </c>
      <c r="C23" s="39">
        <v>0</v>
      </c>
      <c r="D23" s="39"/>
      <c r="E23" s="39">
        <v>0</v>
      </c>
    </row>
    <row r="24" ht="19.55" customHeight="1" spans="1:5">
      <c r="A24" s="38" t="s">
        <v>274</v>
      </c>
      <c r="B24" s="38" t="s">
        <v>275</v>
      </c>
      <c r="C24" s="39">
        <v>0</v>
      </c>
      <c r="D24" s="39"/>
      <c r="E24" s="39">
        <v>0</v>
      </c>
    </row>
    <row r="25" ht="19.55" customHeight="1" spans="1:5">
      <c r="A25" s="38" t="s">
        <v>276</v>
      </c>
      <c r="B25" s="38" t="s">
        <v>277</v>
      </c>
      <c r="C25" s="39">
        <v>0</v>
      </c>
      <c r="D25" s="39"/>
      <c r="E25" s="39">
        <v>0</v>
      </c>
    </row>
    <row r="26" ht="19.55" customHeight="1" spans="1:5">
      <c r="A26" s="38" t="s">
        <v>278</v>
      </c>
      <c r="B26" s="38" t="s">
        <v>279</v>
      </c>
      <c r="C26" s="39">
        <v>0</v>
      </c>
      <c r="D26" s="39"/>
      <c r="E26" s="39">
        <v>0</v>
      </c>
    </row>
    <row r="27" ht="19.55" customHeight="1" spans="1:5">
      <c r="A27" s="38" t="s">
        <v>280</v>
      </c>
      <c r="B27" s="38" t="s">
        <v>281</v>
      </c>
      <c r="C27" s="39">
        <v>0</v>
      </c>
      <c r="D27" s="39"/>
      <c r="E27" s="39">
        <v>0</v>
      </c>
    </row>
    <row r="28" ht="19.55" customHeight="1" spans="1:5">
      <c r="A28" s="38" t="s">
        <v>282</v>
      </c>
      <c r="B28" s="38" t="s">
        <v>283</v>
      </c>
      <c r="C28" s="39">
        <f>E28</f>
        <v>5.5046</v>
      </c>
      <c r="D28" s="39"/>
      <c r="E28" s="39">
        <f>VLOOKUP(封面!E5,[2]Sheet1!$A:$P,16,0)/10000</f>
        <v>5.5046</v>
      </c>
    </row>
    <row r="29" ht="19.55" customHeight="1" spans="1:5">
      <c r="A29" s="38" t="s">
        <v>284</v>
      </c>
      <c r="B29" s="38" t="s">
        <v>285</v>
      </c>
      <c r="C29" s="39">
        <f>E29</f>
        <v>8.2569</v>
      </c>
      <c r="D29" s="39"/>
      <c r="E29" s="39">
        <f>VLOOKUP(封面!E5,[2]Sheet1!$A:$Q,17,0)/10000</f>
        <v>8.2569</v>
      </c>
    </row>
    <row r="30" ht="19.55" customHeight="1" spans="1:5">
      <c r="A30" s="38" t="s">
        <v>286</v>
      </c>
      <c r="B30" s="38" t="s">
        <v>287</v>
      </c>
      <c r="C30" s="39">
        <v>0</v>
      </c>
      <c r="D30" s="39"/>
      <c r="E30" s="39">
        <v>0</v>
      </c>
    </row>
    <row r="31" ht="19.55" customHeight="1" spans="1:5">
      <c r="A31" s="32" t="s">
        <v>288</v>
      </c>
      <c r="B31" s="32" t="s">
        <v>195</v>
      </c>
      <c r="C31" s="35">
        <f>C32+C33</f>
        <v>0.828</v>
      </c>
      <c r="D31" s="35">
        <f>D32+D33</f>
        <v>0.828</v>
      </c>
      <c r="E31" s="35"/>
    </row>
    <row r="32" ht="19.55" customHeight="1" spans="1:5">
      <c r="A32" s="38" t="s">
        <v>289</v>
      </c>
      <c r="B32" s="38" t="s">
        <v>290</v>
      </c>
      <c r="C32" s="39">
        <f>D32</f>
        <v>0</v>
      </c>
      <c r="D32" s="39">
        <f>VLOOKUP(封面!E5,[2]Sheet1!$A:$N,14,0)/10000</f>
        <v>0</v>
      </c>
      <c r="E32" s="39"/>
    </row>
    <row r="33" ht="19.55" customHeight="1" spans="1:5">
      <c r="A33" s="38" t="s">
        <v>291</v>
      </c>
      <c r="B33" s="38" t="s">
        <v>292</v>
      </c>
      <c r="C33" s="39">
        <f>D33</f>
        <v>0.828</v>
      </c>
      <c r="D33" s="39">
        <f>VLOOKUP(封面!E5,[2]Sheet1!$A:$O,15,0)/10000</f>
        <v>0.828</v>
      </c>
      <c r="E33" s="39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4.4"/>
  <cols>
    <col min="1" max="1" width="19.537037037037" customWidth="1"/>
    <col min="2" max="2" width="41.5277777777778" customWidth="1"/>
    <col min="3" max="52" width="9.76851851851852" customWidth="1"/>
    <col min="53" max="61" width="10.3148148148148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9" t="s">
        <v>155</v>
      </c>
      <c r="B3" s="29" t="s">
        <v>156</v>
      </c>
      <c r="C3" s="29" t="s">
        <v>293</v>
      </c>
      <c r="D3" s="29" t="s">
        <v>294</v>
      </c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 t="s">
        <v>204</v>
      </c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 t="s">
        <v>295</v>
      </c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</row>
    <row r="4" ht="27.6" customHeight="1" spans="1:61">
      <c r="A4" s="29"/>
      <c r="B4" s="29"/>
      <c r="C4" s="29"/>
      <c r="D4" s="29" t="s">
        <v>296</v>
      </c>
      <c r="E4" s="29" t="s">
        <v>297</v>
      </c>
      <c r="F4" s="29"/>
      <c r="G4" s="29"/>
      <c r="H4" s="29"/>
      <c r="I4" s="29"/>
      <c r="J4" s="29"/>
      <c r="K4" s="29" t="s">
        <v>298</v>
      </c>
      <c r="L4" s="29"/>
      <c r="M4" s="29"/>
      <c r="N4" s="29"/>
      <c r="O4" s="29"/>
      <c r="P4" s="29"/>
      <c r="Q4" s="29"/>
      <c r="R4" s="29" t="s">
        <v>299</v>
      </c>
      <c r="S4" s="29" t="s">
        <v>300</v>
      </c>
      <c r="T4" s="29" t="s">
        <v>301</v>
      </c>
      <c r="U4" s="29" t="s">
        <v>302</v>
      </c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 t="s">
        <v>303</v>
      </c>
      <c r="AS4" s="29" t="s">
        <v>304</v>
      </c>
      <c r="AT4" s="29" t="s">
        <v>305</v>
      </c>
      <c r="AU4" s="29" t="s">
        <v>306</v>
      </c>
      <c r="AV4" s="29" t="s">
        <v>307</v>
      </c>
      <c r="AW4" s="29" t="s">
        <v>308</v>
      </c>
      <c r="AX4" s="29" t="s">
        <v>309</v>
      </c>
      <c r="AY4" s="29" t="s">
        <v>310</v>
      </c>
      <c r="AZ4" s="29" t="s">
        <v>311</v>
      </c>
      <c r="BA4" s="29" t="s">
        <v>312</v>
      </c>
      <c r="BB4" s="29" t="s">
        <v>313</v>
      </c>
      <c r="BC4" s="29" t="s">
        <v>314</v>
      </c>
      <c r="BD4" s="29" t="s">
        <v>315</v>
      </c>
      <c r="BE4" s="29" t="s">
        <v>316</v>
      </c>
      <c r="BF4" s="29" t="s">
        <v>317</v>
      </c>
      <c r="BG4" s="29" t="s">
        <v>318</v>
      </c>
      <c r="BH4" s="29" t="s">
        <v>319</v>
      </c>
      <c r="BI4" s="29" t="s">
        <v>320</v>
      </c>
    </row>
    <row r="5" ht="30.15" customHeight="1" spans="1:61">
      <c r="A5" s="29"/>
      <c r="B5" s="29"/>
      <c r="C5" s="29"/>
      <c r="D5" s="29"/>
      <c r="E5" s="29" t="s">
        <v>321</v>
      </c>
      <c r="F5" s="29" t="s">
        <v>322</v>
      </c>
      <c r="G5" s="29" t="s">
        <v>323</v>
      </c>
      <c r="H5" s="29" t="s">
        <v>324</v>
      </c>
      <c r="I5" s="29" t="s">
        <v>325</v>
      </c>
      <c r="J5" s="29" t="s">
        <v>326</v>
      </c>
      <c r="K5" s="29" t="s">
        <v>137</v>
      </c>
      <c r="L5" s="29" t="s">
        <v>327</v>
      </c>
      <c r="M5" s="29" t="s">
        <v>328</v>
      </c>
      <c r="N5" s="29" t="s">
        <v>329</v>
      </c>
      <c r="O5" s="29" t="s">
        <v>330</v>
      </c>
      <c r="P5" s="29" t="s">
        <v>331</v>
      </c>
      <c r="Q5" s="29" t="s">
        <v>332</v>
      </c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</row>
    <row r="6" ht="30.15" customHeight="1" spans="1:61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 t="s">
        <v>137</v>
      </c>
      <c r="V6" s="29" t="s">
        <v>333</v>
      </c>
      <c r="W6" s="29" t="s">
        <v>334</v>
      </c>
      <c r="X6" s="29" t="s">
        <v>335</v>
      </c>
      <c r="Y6" s="29" t="s">
        <v>336</v>
      </c>
      <c r="Z6" s="29" t="s">
        <v>337</v>
      </c>
      <c r="AA6" s="29" t="s">
        <v>338</v>
      </c>
      <c r="AB6" s="29" t="s">
        <v>339</v>
      </c>
      <c r="AC6" s="29" t="s">
        <v>340</v>
      </c>
      <c r="AD6" s="29" t="s">
        <v>341</v>
      </c>
      <c r="AE6" s="29" t="s">
        <v>342</v>
      </c>
      <c r="AF6" s="29" t="s">
        <v>343</v>
      </c>
      <c r="AG6" s="29" t="s">
        <v>344</v>
      </c>
      <c r="AH6" s="29" t="s">
        <v>345</v>
      </c>
      <c r="AI6" s="29" t="s">
        <v>346</v>
      </c>
      <c r="AJ6" s="29" t="s">
        <v>347</v>
      </c>
      <c r="AK6" s="29" t="s">
        <v>348</v>
      </c>
      <c r="AL6" s="29" t="s">
        <v>349</v>
      </c>
      <c r="AM6" s="29" t="s">
        <v>350</v>
      </c>
      <c r="AN6" s="29" t="s">
        <v>351</v>
      </c>
      <c r="AO6" s="29" t="s">
        <v>352</v>
      </c>
      <c r="AP6" s="29" t="s">
        <v>353</v>
      </c>
      <c r="AQ6" s="29" t="s">
        <v>354</v>
      </c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</row>
    <row r="7" ht="19.55" customHeight="1" spans="1:61">
      <c r="A7" s="34" t="s">
        <v>241</v>
      </c>
      <c r="B7" s="34" t="s">
        <v>241</v>
      </c>
      <c r="D7" s="34">
        <v>1</v>
      </c>
      <c r="E7" s="34">
        <v>2</v>
      </c>
      <c r="F7" s="34">
        <v>3</v>
      </c>
      <c r="G7" s="34">
        <v>4</v>
      </c>
      <c r="H7" s="34">
        <v>5</v>
      </c>
      <c r="I7" s="34">
        <v>6</v>
      </c>
      <c r="J7" s="34">
        <v>7</v>
      </c>
      <c r="K7" s="34">
        <v>8</v>
      </c>
      <c r="L7" s="34">
        <v>9</v>
      </c>
      <c r="M7" s="34">
        <v>10</v>
      </c>
      <c r="N7" s="34">
        <v>11</v>
      </c>
      <c r="O7" s="34">
        <v>12</v>
      </c>
      <c r="P7" s="34">
        <v>13</v>
      </c>
      <c r="Q7" s="34">
        <v>14</v>
      </c>
      <c r="R7" s="34">
        <v>15</v>
      </c>
      <c r="S7" s="34">
        <v>16</v>
      </c>
      <c r="T7" s="34">
        <v>17</v>
      </c>
      <c r="U7" s="34">
        <v>18</v>
      </c>
      <c r="V7" s="34">
        <v>19</v>
      </c>
      <c r="W7" s="34">
        <v>20</v>
      </c>
      <c r="X7" s="34">
        <v>21</v>
      </c>
      <c r="Y7" s="34">
        <v>22</v>
      </c>
      <c r="Z7" s="34">
        <v>23</v>
      </c>
      <c r="AA7" s="34">
        <v>24</v>
      </c>
      <c r="AB7" s="34">
        <v>25</v>
      </c>
      <c r="AC7" s="34">
        <v>26</v>
      </c>
      <c r="AD7" s="34">
        <v>27</v>
      </c>
      <c r="AE7" s="34">
        <v>28</v>
      </c>
      <c r="AF7" s="34">
        <v>29</v>
      </c>
      <c r="AG7" s="34">
        <v>30</v>
      </c>
      <c r="AH7" s="34">
        <v>31</v>
      </c>
      <c r="AI7" s="34">
        <v>32</v>
      </c>
      <c r="AJ7" s="34">
        <v>33</v>
      </c>
      <c r="AK7" s="34">
        <v>34</v>
      </c>
      <c r="AL7" s="34">
        <v>35</v>
      </c>
      <c r="AM7" s="34">
        <v>36</v>
      </c>
      <c r="AN7" s="34">
        <v>37</v>
      </c>
      <c r="AO7" s="34">
        <v>38</v>
      </c>
      <c r="AP7" s="34">
        <v>39</v>
      </c>
      <c r="AQ7" s="34">
        <v>40</v>
      </c>
      <c r="AR7" s="34">
        <v>41</v>
      </c>
      <c r="AS7" s="34">
        <v>42</v>
      </c>
      <c r="AT7" s="34">
        <v>43</v>
      </c>
      <c r="AU7" s="34">
        <v>44</v>
      </c>
      <c r="AV7" s="34">
        <v>45</v>
      </c>
      <c r="AW7" s="34">
        <v>46</v>
      </c>
      <c r="AX7" s="34">
        <v>47</v>
      </c>
      <c r="AY7" s="34">
        <v>48</v>
      </c>
      <c r="AZ7" s="34">
        <v>49</v>
      </c>
      <c r="BA7" s="34">
        <v>50</v>
      </c>
      <c r="BB7" s="34">
        <v>51</v>
      </c>
      <c r="BC7" s="34">
        <v>52</v>
      </c>
      <c r="BD7" s="34">
        <v>53</v>
      </c>
      <c r="BE7" s="34">
        <v>54</v>
      </c>
      <c r="BF7" s="34">
        <v>55</v>
      </c>
      <c r="BG7" s="34">
        <v>56</v>
      </c>
      <c r="BH7" s="34">
        <v>57</v>
      </c>
      <c r="BI7" s="34">
        <v>58</v>
      </c>
    </row>
    <row r="8" ht="19.55" customHeight="1" spans="1:61">
      <c r="A8" s="29" t="s">
        <v>355</v>
      </c>
      <c r="B8" s="30"/>
      <c r="C8" s="35">
        <f>C11</f>
        <v>670.1484</v>
      </c>
      <c r="D8" s="35">
        <f>D11</f>
        <v>655.5589</v>
      </c>
      <c r="E8" s="35">
        <f>E11</f>
        <v>441.0816</v>
      </c>
      <c r="F8" s="35">
        <f>F11</f>
        <v>276.4416</v>
      </c>
      <c r="G8" s="35">
        <f>G11</f>
        <v>0</v>
      </c>
      <c r="H8" s="35"/>
      <c r="I8" s="35">
        <f>I11</f>
        <v>0</v>
      </c>
      <c r="J8" s="35">
        <f>J11</f>
        <v>164.64</v>
      </c>
      <c r="K8" s="35">
        <f>K11</f>
        <v>126.9228</v>
      </c>
      <c r="L8" s="35">
        <f>L11</f>
        <v>71.3716</v>
      </c>
      <c r="M8" s="35"/>
      <c r="N8" s="35">
        <f>N11</f>
        <v>55.5512</v>
      </c>
      <c r="O8" s="35"/>
      <c r="P8" s="35"/>
      <c r="Q8" s="35"/>
      <c r="R8" s="35">
        <f>R11</f>
        <v>53.5225</v>
      </c>
      <c r="S8" s="35">
        <f>S11</f>
        <v>34.032</v>
      </c>
      <c r="T8" s="35">
        <f>T11</f>
        <v>13.7615</v>
      </c>
      <c r="U8" s="35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5">
        <f>AR11</f>
        <v>5.5046</v>
      </c>
      <c r="AS8" s="35">
        <f>AS11</f>
        <v>8.2569</v>
      </c>
      <c r="AT8" s="35"/>
      <c r="AU8" s="35"/>
      <c r="AV8" s="35"/>
      <c r="AW8" s="35">
        <f>AW11</f>
        <v>0.828</v>
      </c>
      <c r="AX8" s="35">
        <f>AX11</f>
        <v>0</v>
      </c>
      <c r="AY8" s="35"/>
      <c r="AZ8" s="35"/>
      <c r="BA8" s="35"/>
      <c r="BB8" s="35"/>
      <c r="BC8" s="35">
        <v>0</v>
      </c>
      <c r="BD8" s="35">
        <v>0</v>
      </c>
      <c r="BE8" s="35">
        <v>0</v>
      </c>
      <c r="BF8" s="35">
        <v>0</v>
      </c>
      <c r="BG8" s="35">
        <v>0</v>
      </c>
      <c r="BH8" s="35">
        <v>0</v>
      </c>
      <c r="BI8" s="35">
        <f>BI11</f>
        <v>0.828</v>
      </c>
    </row>
    <row r="9" ht="19.55" customHeight="1" spans="1:61">
      <c r="A9" s="32" t="s">
        <v>165</v>
      </c>
      <c r="B9" s="32" t="s">
        <v>226</v>
      </c>
      <c r="C9" s="35">
        <f>C11</f>
        <v>670.1484</v>
      </c>
      <c r="D9" s="35">
        <f>D11</f>
        <v>655.5589</v>
      </c>
      <c r="E9" s="35">
        <f>E11</f>
        <v>441.0816</v>
      </c>
      <c r="F9" s="35">
        <f>F11</f>
        <v>276.4416</v>
      </c>
      <c r="G9" s="35">
        <f>G12</f>
        <v>0</v>
      </c>
      <c r="H9" s="35"/>
      <c r="I9" s="35">
        <f>I11</f>
        <v>0</v>
      </c>
      <c r="J9" s="35">
        <f>J11</f>
        <v>164.64</v>
      </c>
      <c r="K9" s="35">
        <f>K11</f>
        <v>126.9228</v>
      </c>
      <c r="L9" s="35">
        <f>L11</f>
        <v>71.3716</v>
      </c>
      <c r="M9" s="35"/>
      <c r="N9" s="35">
        <f>N11</f>
        <v>55.5512</v>
      </c>
      <c r="O9" s="35"/>
      <c r="P9" s="35"/>
      <c r="Q9" s="35"/>
      <c r="R9" s="35">
        <f>R11</f>
        <v>53.5225</v>
      </c>
      <c r="S9" s="35">
        <f>S11</f>
        <v>34.032</v>
      </c>
      <c r="T9" s="35">
        <f>T11</f>
        <v>13.7615</v>
      </c>
      <c r="U9" s="35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5">
        <f>AR11</f>
        <v>5.5046</v>
      </c>
      <c r="AS9" s="35">
        <f>AS11</f>
        <v>8.2569</v>
      </c>
      <c r="AT9" s="35"/>
      <c r="AU9" s="35"/>
      <c r="AV9" s="35"/>
      <c r="AW9" s="35">
        <f>AW11</f>
        <v>0.828</v>
      </c>
      <c r="AX9" s="35">
        <f>AX11</f>
        <v>0</v>
      </c>
      <c r="AY9" s="35"/>
      <c r="AZ9" s="35"/>
      <c r="BA9" s="35"/>
      <c r="BB9" s="35"/>
      <c r="BC9" s="35">
        <v>0</v>
      </c>
      <c r="BD9" s="35">
        <v>0</v>
      </c>
      <c r="BE9" s="35">
        <v>0</v>
      </c>
      <c r="BF9" s="35">
        <v>0</v>
      </c>
      <c r="BG9" s="35">
        <v>0</v>
      </c>
      <c r="BH9" s="35">
        <v>0</v>
      </c>
      <c r="BI9" s="35">
        <f>BI11</f>
        <v>0.828</v>
      </c>
    </row>
    <row r="10" ht="19.55" customHeight="1" spans="1:61">
      <c r="A10" s="33" t="s">
        <v>356</v>
      </c>
      <c r="B10" s="33" t="s">
        <v>357</v>
      </c>
      <c r="C10" s="35">
        <f>C11</f>
        <v>670.1484</v>
      </c>
      <c r="D10" s="35">
        <f>D11</f>
        <v>655.5589</v>
      </c>
      <c r="E10" s="35">
        <f>E11</f>
        <v>441.0816</v>
      </c>
      <c r="F10" s="35">
        <f>F11</f>
        <v>276.4416</v>
      </c>
      <c r="G10" s="35">
        <f>G11</f>
        <v>0</v>
      </c>
      <c r="H10" s="35">
        <v>0</v>
      </c>
      <c r="I10" s="35">
        <f>I11</f>
        <v>0</v>
      </c>
      <c r="J10" s="35">
        <f>J11</f>
        <v>164.64</v>
      </c>
      <c r="K10" s="35">
        <f>K11</f>
        <v>126.9228</v>
      </c>
      <c r="L10" s="35">
        <f>L11</f>
        <v>71.3716</v>
      </c>
      <c r="M10" s="35">
        <v>0</v>
      </c>
      <c r="N10" s="35">
        <f>N11</f>
        <v>55.5512</v>
      </c>
      <c r="O10" s="35">
        <v>0</v>
      </c>
      <c r="P10" s="35">
        <v>0</v>
      </c>
      <c r="Q10" s="35">
        <v>0</v>
      </c>
      <c r="R10" s="35">
        <f>R11</f>
        <v>53.5225</v>
      </c>
      <c r="S10" s="35">
        <f>S11</f>
        <v>34.032</v>
      </c>
      <c r="T10" s="35">
        <f>T11</f>
        <v>13.7615</v>
      </c>
      <c r="U10" s="35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5">
        <f>AR11</f>
        <v>5.5046</v>
      </c>
      <c r="AS10" s="35">
        <f>AS11</f>
        <v>8.2569</v>
      </c>
      <c r="AT10" s="35"/>
      <c r="AU10" s="35"/>
      <c r="AV10" s="35"/>
      <c r="AW10" s="35">
        <f>AW11</f>
        <v>0.828</v>
      </c>
      <c r="AX10" s="35">
        <f>AX11</f>
        <v>0</v>
      </c>
      <c r="AY10" s="35">
        <v>0</v>
      </c>
      <c r="AZ10" s="35">
        <v>0</v>
      </c>
      <c r="BA10" s="35">
        <v>0</v>
      </c>
      <c r="BB10" s="35">
        <v>0</v>
      </c>
      <c r="BC10" s="35">
        <v>0</v>
      </c>
      <c r="BD10" s="35">
        <v>0</v>
      </c>
      <c r="BE10" s="35">
        <v>0</v>
      </c>
      <c r="BF10" s="35">
        <v>0</v>
      </c>
      <c r="BG10" s="35">
        <v>0</v>
      </c>
      <c r="BH10" s="35">
        <v>0</v>
      </c>
      <c r="BI10" s="35">
        <f>BI11</f>
        <v>0.828</v>
      </c>
    </row>
    <row r="11" ht="19.55" customHeight="1" spans="1:61">
      <c r="A11" s="33" t="s">
        <v>173</v>
      </c>
      <c r="B11" s="33" t="s">
        <v>174</v>
      </c>
      <c r="C11" s="36">
        <f>'8一般公共预算基本支出表（纵向）'!C6</f>
        <v>670.1484</v>
      </c>
      <c r="D11" s="36">
        <f>E11+K11+R11+S11</f>
        <v>655.5589</v>
      </c>
      <c r="E11" s="36">
        <f>F11+G11+I11+J11</f>
        <v>441.0816</v>
      </c>
      <c r="F11" s="36">
        <f>'8一般公共预算基本支出表（纵向）'!D8</f>
        <v>276.4416</v>
      </c>
      <c r="G11" s="36">
        <f>'8一般公共预算基本支出表（纵向）'!D9</f>
        <v>0</v>
      </c>
      <c r="H11" s="36"/>
      <c r="I11" s="36">
        <f>'8一般公共预算基本支出表（纵向）'!D10</f>
        <v>0</v>
      </c>
      <c r="J11" s="36">
        <f>'8一般公共预算基本支出表（纵向）'!D11</f>
        <v>164.64</v>
      </c>
      <c r="K11" s="36">
        <f>L11+N11</f>
        <v>126.9228</v>
      </c>
      <c r="L11" s="36">
        <f>'8一般公共预算基本支出表（纵向）'!D12</f>
        <v>71.3716</v>
      </c>
      <c r="M11" s="36"/>
      <c r="N11" s="36">
        <f>'8一般公共预算基本支出表（纵向）'!D13</f>
        <v>55.5512</v>
      </c>
      <c r="O11" s="36"/>
      <c r="P11" s="36"/>
      <c r="Q11" s="36"/>
      <c r="R11" s="36">
        <f>'8一般公共预算基本支出表（纵向）'!D14</f>
        <v>53.5225</v>
      </c>
      <c r="S11" s="36">
        <f>'8一般公共预算基本支出表（纵向）'!D15</f>
        <v>34.032</v>
      </c>
      <c r="T11" s="36">
        <f>'8一般公共预算基本支出表（纵向）'!C16</f>
        <v>13.7615</v>
      </c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>
        <f>'8一般公共预算基本支出表（纵向）'!E28</f>
        <v>5.5046</v>
      </c>
      <c r="AS11" s="36">
        <f>'8一般公共预算基本支出表（纵向）'!E29</f>
        <v>8.2569</v>
      </c>
      <c r="AT11" s="36"/>
      <c r="AU11" s="36"/>
      <c r="AV11" s="36"/>
      <c r="AW11" s="36">
        <f>'8一般公共预算基本支出表（纵向）'!D31</f>
        <v>0.828</v>
      </c>
      <c r="AX11" s="36">
        <f>'8一般公共预算基本支出表（纵向）'!D32</f>
        <v>0</v>
      </c>
      <c r="AY11" s="36"/>
      <c r="AZ11" s="36"/>
      <c r="BA11" s="36"/>
      <c r="BB11" s="36"/>
      <c r="BC11" s="36">
        <v>0</v>
      </c>
      <c r="BD11" s="36">
        <v>0</v>
      </c>
      <c r="BE11" s="36">
        <v>0</v>
      </c>
      <c r="BF11" s="36">
        <v>0</v>
      </c>
      <c r="BG11" s="36">
        <v>0</v>
      </c>
      <c r="BH11" s="36">
        <v>0</v>
      </c>
      <c r="BI11" s="36">
        <f>'8一般公共预算基本支出表（纵向）'!D33</f>
        <v>0.828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4.4"/>
  <cols>
    <col min="1" max="1" width="19.537037037037" customWidth="1"/>
    <col min="2" max="2" width="41.5277777777778" customWidth="1"/>
    <col min="3" max="3" width="13.4351851851852" customWidth="1"/>
    <col min="4" max="4" width="12.4814814814815" customWidth="1"/>
    <col min="5" max="6" width="10.2592592592593" customWidth="1"/>
    <col min="7" max="7" width="9.09259259259259" customWidth="1"/>
    <col min="8" max="8" width="10.2592592592593" customWidth="1"/>
    <col min="9" max="9" width="12.4814814814815" customWidth="1"/>
    <col min="10" max="10" width="9.62962962962963" customWidth="1"/>
    <col min="11" max="11" width="9.90740740740741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9" t="s">
        <v>355</v>
      </c>
      <c r="B6" s="30"/>
      <c r="C6" s="31">
        <f t="shared" ref="C6:H6" si="0">C9</f>
        <v>670.1484</v>
      </c>
      <c r="D6" s="31">
        <f t="shared" si="0"/>
        <v>655.5589</v>
      </c>
      <c r="E6" s="31">
        <f t="shared" si="0"/>
        <v>441.0816</v>
      </c>
      <c r="F6" s="31">
        <f t="shared" si="0"/>
        <v>126.9228</v>
      </c>
      <c r="G6" s="31">
        <f t="shared" si="0"/>
        <v>53.5225</v>
      </c>
      <c r="H6" s="31">
        <f t="shared" si="0"/>
        <v>34.032</v>
      </c>
      <c r="I6" s="31"/>
      <c r="J6" s="31"/>
      <c r="K6" s="31"/>
    </row>
    <row r="7" ht="19.55" customHeight="1" spans="1:11">
      <c r="A7" s="32" t="s">
        <v>165</v>
      </c>
      <c r="B7" s="32" t="s">
        <v>226</v>
      </c>
      <c r="C7" s="31">
        <f t="shared" ref="C7:H7" si="1">C9</f>
        <v>670.1484</v>
      </c>
      <c r="D7" s="31">
        <f t="shared" si="1"/>
        <v>655.5589</v>
      </c>
      <c r="E7" s="31">
        <f t="shared" si="1"/>
        <v>441.0816</v>
      </c>
      <c r="F7" s="31">
        <f t="shared" si="1"/>
        <v>126.9228</v>
      </c>
      <c r="G7" s="31">
        <f t="shared" si="1"/>
        <v>53.5225</v>
      </c>
      <c r="H7" s="31">
        <f t="shared" si="1"/>
        <v>34.032</v>
      </c>
      <c r="I7" s="31"/>
      <c r="J7" s="31"/>
      <c r="K7" s="31"/>
    </row>
    <row r="8" ht="19.55" customHeight="1" spans="1:11">
      <c r="A8" s="33" t="s">
        <v>356</v>
      </c>
      <c r="B8" s="33" t="s">
        <v>357</v>
      </c>
      <c r="C8" s="31">
        <f t="shared" ref="C8:H8" si="2">C9</f>
        <v>670.1484</v>
      </c>
      <c r="D8" s="31">
        <f t="shared" si="2"/>
        <v>655.5589</v>
      </c>
      <c r="E8" s="31">
        <f t="shared" si="2"/>
        <v>441.0816</v>
      </c>
      <c r="F8" s="31">
        <f t="shared" si="2"/>
        <v>126.9228</v>
      </c>
      <c r="G8" s="31">
        <f t="shared" si="2"/>
        <v>53.5225</v>
      </c>
      <c r="H8" s="31">
        <f t="shared" si="2"/>
        <v>34.032</v>
      </c>
      <c r="I8" s="31"/>
      <c r="J8" s="31"/>
      <c r="K8" s="31"/>
    </row>
    <row r="9" ht="19.55" customHeight="1" spans="1:11">
      <c r="A9" s="33" t="s">
        <v>173</v>
      </c>
      <c r="B9" s="33" t="s">
        <v>174</v>
      </c>
      <c r="C9" s="6">
        <f>'9一般公共预算基本支出表（横向）'!C11</f>
        <v>670.1484</v>
      </c>
      <c r="D9" s="6">
        <f>E9+F9+G9+H9</f>
        <v>655.5589</v>
      </c>
      <c r="E9" s="24">
        <f>'9一般公共预算基本支出表（横向）'!E11</f>
        <v>441.0816</v>
      </c>
      <c r="F9" s="24">
        <f>'9一般公共预算基本支出表（横向）'!K11</f>
        <v>126.9228</v>
      </c>
      <c r="G9" s="24">
        <f>'9一般公共预算基本支出表（横向）'!R11</f>
        <v>53.5225</v>
      </c>
      <c r="H9" s="24">
        <f>'9一般公共预算基本支出表（横向）'!S11</f>
        <v>34.032</v>
      </c>
      <c r="I9" s="6"/>
      <c r="J9" s="24"/>
      <c r="K9" s="24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4.4"/>
  <cols>
    <col min="1" max="1" width="19.537037037037" customWidth="1"/>
    <col min="2" max="2" width="41.5277777777778" customWidth="1"/>
    <col min="3" max="3" width="13.9722222222222" customWidth="1"/>
    <col min="4" max="19" width="7.69444444444444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9" t="s">
        <v>355</v>
      </c>
      <c r="B6" s="30"/>
      <c r="C6" s="13">
        <f t="shared" ref="C6:J6" si="0">C9</f>
        <v>655.5589</v>
      </c>
      <c r="D6" s="13">
        <f t="shared" si="0"/>
        <v>441.0816</v>
      </c>
      <c r="E6" s="13">
        <f t="shared" si="0"/>
        <v>276.4416</v>
      </c>
      <c r="F6" s="13">
        <f t="shared" si="0"/>
        <v>0</v>
      </c>
      <c r="G6" s="13">
        <f t="shared" si="0"/>
        <v>0</v>
      </c>
      <c r="H6" s="13">
        <f t="shared" si="0"/>
        <v>164.64</v>
      </c>
      <c r="I6" s="13">
        <f t="shared" si="0"/>
        <v>126.9228</v>
      </c>
      <c r="J6" s="13">
        <f t="shared" si="0"/>
        <v>71.3716</v>
      </c>
      <c r="K6" s="13"/>
      <c r="L6" s="13">
        <f>L9</f>
        <v>55.5512</v>
      </c>
      <c r="M6" s="13"/>
      <c r="N6" s="13"/>
      <c r="O6" s="13">
        <f>O9</f>
        <v>53.5225</v>
      </c>
      <c r="P6" s="13">
        <f>P9</f>
        <v>34.032</v>
      </c>
      <c r="Q6" s="13"/>
      <c r="R6" s="13"/>
      <c r="S6" s="13">
        <f>S9</f>
        <v>34.032</v>
      </c>
    </row>
    <row r="7" ht="19.55" customHeight="1" spans="1:19">
      <c r="A7" s="32" t="s">
        <v>165</v>
      </c>
      <c r="B7" s="32" t="s">
        <v>226</v>
      </c>
      <c r="C7" s="13">
        <f t="shared" ref="C7:J7" si="1">C9</f>
        <v>655.5589</v>
      </c>
      <c r="D7" s="13">
        <f t="shared" si="1"/>
        <v>441.0816</v>
      </c>
      <c r="E7" s="13">
        <f t="shared" si="1"/>
        <v>276.4416</v>
      </c>
      <c r="F7" s="13">
        <f t="shared" si="1"/>
        <v>0</v>
      </c>
      <c r="G7" s="13">
        <f t="shared" si="1"/>
        <v>0</v>
      </c>
      <c r="H7" s="13">
        <f t="shared" si="1"/>
        <v>164.64</v>
      </c>
      <c r="I7" s="13">
        <f t="shared" si="1"/>
        <v>126.9228</v>
      </c>
      <c r="J7" s="13">
        <f t="shared" si="1"/>
        <v>71.3716</v>
      </c>
      <c r="K7" s="13"/>
      <c r="L7" s="13">
        <f>L9</f>
        <v>55.5512</v>
      </c>
      <c r="M7" s="13"/>
      <c r="N7" s="13"/>
      <c r="O7" s="13">
        <f>O9</f>
        <v>53.5225</v>
      </c>
      <c r="P7" s="13">
        <f>P9</f>
        <v>34.032</v>
      </c>
      <c r="Q7" s="13"/>
      <c r="R7" s="13"/>
      <c r="S7" s="13">
        <f>S9</f>
        <v>34.032</v>
      </c>
    </row>
    <row r="8" ht="19.55" customHeight="1" spans="1:19">
      <c r="A8" s="33" t="s">
        <v>356</v>
      </c>
      <c r="B8" s="33" t="s">
        <v>357</v>
      </c>
      <c r="C8" s="13">
        <f t="shared" ref="C8:J8" si="2">C9</f>
        <v>655.5589</v>
      </c>
      <c r="D8" s="13">
        <f t="shared" si="2"/>
        <v>441.0816</v>
      </c>
      <c r="E8" s="13">
        <f t="shared" si="2"/>
        <v>276.4416</v>
      </c>
      <c r="F8" s="13">
        <f t="shared" si="2"/>
        <v>0</v>
      </c>
      <c r="G8" s="13">
        <f t="shared" si="2"/>
        <v>0</v>
      </c>
      <c r="H8" s="13">
        <f t="shared" si="2"/>
        <v>164.64</v>
      </c>
      <c r="I8" s="13">
        <f t="shared" si="2"/>
        <v>126.9228</v>
      </c>
      <c r="J8" s="13">
        <f t="shared" si="2"/>
        <v>71.3716</v>
      </c>
      <c r="K8" s="13"/>
      <c r="L8" s="13">
        <f>L9</f>
        <v>55.5512</v>
      </c>
      <c r="M8" s="13"/>
      <c r="N8" s="13"/>
      <c r="O8" s="13">
        <f>O9</f>
        <v>53.5225</v>
      </c>
      <c r="P8" s="13">
        <f>P9</f>
        <v>34.032</v>
      </c>
      <c r="Q8" s="13"/>
      <c r="R8" s="13"/>
      <c r="S8" s="13">
        <f>S9</f>
        <v>34.032</v>
      </c>
    </row>
    <row r="9" ht="19.55" customHeight="1" spans="1:19">
      <c r="A9" s="33" t="s">
        <v>173</v>
      </c>
      <c r="B9" s="33" t="s">
        <v>174</v>
      </c>
      <c r="C9" s="6">
        <f>D9+I9+O9+P9</f>
        <v>655.5589</v>
      </c>
      <c r="D9" s="24">
        <f>E9+H9+F9+G9</f>
        <v>441.0816</v>
      </c>
      <c r="E9" s="24">
        <f>'8一般公共预算基本支出表（纵向）'!D8</f>
        <v>276.4416</v>
      </c>
      <c r="F9" s="24">
        <f>'8一般公共预算基本支出表（纵向）'!D9</f>
        <v>0</v>
      </c>
      <c r="G9" s="24">
        <f>'8一般公共预算基本支出表（纵向）'!D10</f>
        <v>0</v>
      </c>
      <c r="H9" s="24">
        <f>'8一般公共预算基本支出表（纵向）'!D11</f>
        <v>164.64</v>
      </c>
      <c r="I9" s="6">
        <f>J9+L9</f>
        <v>126.9228</v>
      </c>
      <c r="J9" s="24">
        <f>'9一般公共预算基本支出表（横向）'!L11</f>
        <v>71.3716</v>
      </c>
      <c r="K9" s="24"/>
      <c r="L9" s="24">
        <f>'9一般公共预算基本支出表（横向）'!N11</f>
        <v>55.5512</v>
      </c>
      <c r="M9" s="24"/>
      <c r="N9" s="24"/>
      <c r="O9" s="24">
        <f>'9一般公共预算基本支出表（横向）'!R11</f>
        <v>53.5225</v>
      </c>
      <c r="P9" s="6">
        <f>S9</f>
        <v>34.032</v>
      </c>
      <c r="Q9" s="24"/>
      <c r="R9" s="24"/>
      <c r="S9" s="24">
        <f>'9一般公共预算基本支出表（横向）'!S11</f>
        <v>34.032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4.4" outlineLevelCol="7"/>
  <cols>
    <col min="1" max="1" width="19.537037037037" customWidth="1"/>
    <col min="2" max="2" width="41.5277777777778" customWidth="1"/>
    <col min="3" max="3" width="16.4166666666667" customWidth="1"/>
    <col min="4" max="4" width="13.4351851851852" customWidth="1"/>
    <col min="5" max="5" width="11.1296296296296" customWidth="1"/>
    <col min="6" max="6" width="12.0740740740741" customWidth="1"/>
    <col min="7" max="7" width="11.9444444444444" customWidth="1"/>
    <col min="8" max="8" width="11.537037037037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部门：127025_益阳市综合中专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9" t="s">
        <v>355</v>
      </c>
      <c r="B6" s="30"/>
      <c r="C6" s="13">
        <f>C9</f>
        <v>0.828</v>
      </c>
      <c r="D6" s="13"/>
      <c r="E6" s="13"/>
      <c r="F6" s="13"/>
      <c r="G6" s="13">
        <f>G9</f>
        <v>0</v>
      </c>
      <c r="H6" s="13">
        <f>H9</f>
        <v>0.828</v>
      </c>
    </row>
    <row r="7" ht="19.55" customHeight="1" spans="1:8">
      <c r="A7" s="32" t="s">
        <v>165</v>
      </c>
      <c r="B7" s="32" t="s">
        <v>226</v>
      </c>
      <c r="C7" s="13">
        <f>C9</f>
        <v>0.828</v>
      </c>
      <c r="D7" s="13"/>
      <c r="E7" s="13"/>
      <c r="F7" s="13"/>
      <c r="G7" s="13">
        <f>G9</f>
        <v>0</v>
      </c>
      <c r="H7" s="13">
        <f>H9</f>
        <v>0.828</v>
      </c>
    </row>
    <row r="8" ht="19.55" customHeight="1" spans="1:8">
      <c r="A8" s="33" t="s">
        <v>356</v>
      </c>
      <c r="B8" s="33" t="s">
        <v>357</v>
      </c>
      <c r="C8" s="13">
        <f>C9</f>
        <v>0.828</v>
      </c>
      <c r="D8" s="13"/>
      <c r="E8" s="13"/>
      <c r="F8" s="13"/>
      <c r="G8" s="13">
        <f>G9</f>
        <v>0</v>
      </c>
      <c r="H8" s="13">
        <f>H9</f>
        <v>0.828</v>
      </c>
    </row>
    <row r="9" ht="19.55" customHeight="1" spans="1:8">
      <c r="A9" s="33" t="s">
        <v>173</v>
      </c>
      <c r="B9" s="33" t="s">
        <v>174</v>
      </c>
      <c r="C9" s="6">
        <f>'8一般公共预算基本支出表（纵向）'!D31</f>
        <v>0.828</v>
      </c>
      <c r="D9" s="24"/>
      <c r="E9" s="24"/>
      <c r="F9" s="24"/>
      <c r="G9" s="24">
        <f>'8一般公共预算基本支出表（纵向）'!D32</f>
        <v>0</v>
      </c>
      <c r="H9" s="24">
        <f>'8一般公共预算基本支出表（纵向）'!D33</f>
        <v>0.828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4.4"/>
  <cols>
    <col min="1" max="1" width="19.537037037037" customWidth="1"/>
    <col min="2" max="2" width="41.5277777777778" customWidth="1"/>
    <col min="3" max="15" width="7.69444444444444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9" t="s">
        <v>355</v>
      </c>
      <c r="B6" s="30"/>
      <c r="C6" s="6">
        <f>D6+O6</f>
        <v>0.828</v>
      </c>
      <c r="D6" s="24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0.828</v>
      </c>
    </row>
    <row r="7" ht="19.55" customHeight="1" spans="1:15">
      <c r="A7" s="32" t="s">
        <v>165</v>
      </c>
      <c r="B7" s="32" t="s">
        <v>226</v>
      </c>
      <c r="C7" s="6">
        <f>D7+O7</f>
        <v>0.828</v>
      </c>
      <c r="D7" s="24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0.828</v>
      </c>
    </row>
    <row r="8" ht="19.55" customHeight="1" spans="1:15">
      <c r="A8" s="33" t="s">
        <v>356</v>
      </c>
      <c r="B8" s="33" t="s">
        <v>357</v>
      </c>
      <c r="C8" s="6">
        <f>D8+O8</f>
        <v>0.828</v>
      </c>
      <c r="D8" s="24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0.828</v>
      </c>
    </row>
    <row r="9" ht="19.55" customHeight="1" spans="1:15">
      <c r="A9" s="33" t="s">
        <v>173</v>
      </c>
      <c r="B9" s="33" t="s">
        <v>174</v>
      </c>
      <c r="C9" s="6">
        <f>D9+O9</f>
        <v>0.828</v>
      </c>
      <c r="D9" s="24">
        <f>'12个人家庭(政府预算)'!G9</f>
        <v>0</v>
      </c>
      <c r="E9" s="24"/>
      <c r="F9" s="24"/>
      <c r="G9" s="24"/>
      <c r="H9" s="24"/>
      <c r="I9" s="24"/>
      <c r="J9" s="24"/>
      <c r="K9" s="24"/>
      <c r="L9" s="24"/>
      <c r="M9" s="24"/>
      <c r="N9" s="24"/>
      <c r="O9" s="24">
        <f>'12个人家庭(政府预算)'!H9</f>
        <v>0.828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selection activeCell="C6" sqref="C6:N6"/>
    </sheetView>
  </sheetViews>
  <sheetFormatPr defaultColWidth="10" defaultRowHeight="14.4"/>
  <cols>
    <col min="1" max="1" width="19.537037037037" customWidth="1"/>
    <col min="2" max="2" width="41.5277777777778" customWidth="1"/>
    <col min="3" max="3" width="9.62962962962963" customWidth="1"/>
    <col min="4" max="4" width="8.41666666666667" customWidth="1"/>
    <col min="5" max="5" width="7.77777777777778" customWidth="1"/>
    <col min="6" max="14" width="7.18518518518519" customWidth="1"/>
    <col min="15" max="15" width="8.5462962962963" customWidth="1"/>
    <col min="16" max="17" width="7.18518518518519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9" t="s">
        <v>355</v>
      </c>
      <c r="B6" s="30"/>
      <c r="C6" s="31">
        <v>13.7615</v>
      </c>
      <c r="D6" s="31">
        <v>13.7615</v>
      </c>
      <c r="E6" s="24">
        <v>4.12845</v>
      </c>
      <c r="F6" s="24">
        <v>2.064225</v>
      </c>
      <c r="G6" s="24">
        <v>2.064225</v>
      </c>
      <c r="H6" s="31"/>
      <c r="I6" s="31"/>
      <c r="J6" s="24"/>
      <c r="K6" s="31"/>
      <c r="L6" s="31"/>
      <c r="M6" s="24">
        <v>2.064225</v>
      </c>
      <c r="N6" s="31">
        <v>3.440375</v>
      </c>
      <c r="O6" s="31"/>
      <c r="P6" s="31"/>
      <c r="Q6" s="31"/>
    </row>
    <row r="7" ht="19.55" customHeight="1" spans="1:17">
      <c r="A7" s="32" t="s">
        <v>165</v>
      </c>
      <c r="B7" s="32" t="s">
        <v>226</v>
      </c>
      <c r="C7" s="31">
        <v>13.7615</v>
      </c>
      <c r="D7" s="31">
        <v>13.7615</v>
      </c>
      <c r="E7" s="24">
        <v>4.12845</v>
      </c>
      <c r="F7" s="24">
        <v>2.064225</v>
      </c>
      <c r="G7" s="24">
        <v>2.064225</v>
      </c>
      <c r="H7" s="31"/>
      <c r="I7" s="31"/>
      <c r="J7" s="24"/>
      <c r="K7" s="31"/>
      <c r="L7" s="31"/>
      <c r="M7" s="24">
        <v>2.064225</v>
      </c>
      <c r="N7" s="31">
        <v>3.440375</v>
      </c>
      <c r="O7" s="31"/>
      <c r="P7" s="31"/>
      <c r="Q7" s="31"/>
    </row>
    <row r="8" ht="19.55" customHeight="1" spans="1:17">
      <c r="A8" s="33" t="s">
        <v>356</v>
      </c>
      <c r="B8" s="33" t="s">
        <v>357</v>
      </c>
      <c r="C8" s="31">
        <v>13.7615</v>
      </c>
      <c r="D8" s="31">
        <v>13.7615</v>
      </c>
      <c r="E8" s="24">
        <v>4.12845</v>
      </c>
      <c r="F8" s="24">
        <v>2.064225</v>
      </c>
      <c r="G8" s="24">
        <v>2.064225</v>
      </c>
      <c r="H8" s="31"/>
      <c r="I8" s="31"/>
      <c r="J8" s="24"/>
      <c r="K8" s="31"/>
      <c r="L8" s="31"/>
      <c r="M8" s="24">
        <v>2.064225</v>
      </c>
      <c r="N8" s="31">
        <v>3.440375</v>
      </c>
      <c r="O8" s="31"/>
      <c r="P8" s="31"/>
      <c r="Q8" s="31"/>
    </row>
    <row r="9" ht="19.55" customHeight="1" spans="1:17">
      <c r="A9" s="33" t="s">
        <v>173</v>
      </c>
      <c r="B9" s="33" t="s">
        <v>174</v>
      </c>
      <c r="C9" s="6">
        <f>'15商品服务'!C9</f>
        <v>13.7615</v>
      </c>
      <c r="D9" s="24">
        <f>'15商品服务'!C9</f>
        <v>13.7615</v>
      </c>
      <c r="E9" s="24">
        <f>C9*0.3</f>
        <v>4.12845</v>
      </c>
      <c r="F9" s="24">
        <f>C9*0.15</f>
        <v>2.064225</v>
      </c>
      <c r="G9" s="24">
        <f>C9*0.15</f>
        <v>2.064225</v>
      </c>
      <c r="H9" s="24"/>
      <c r="I9" s="24"/>
      <c r="J9" s="24"/>
      <c r="K9" s="24"/>
      <c r="L9" s="24"/>
      <c r="M9" s="24">
        <f>C9*0.15</f>
        <v>2.064225</v>
      </c>
      <c r="N9" s="24">
        <f>C9*0.25</f>
        <v>3.440375</v>
      </c>
      <c r="O9" s="24"/>
      <c r="P9" s="24"/>
      <c r="Q9" s="24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4.4"/>
  <cols>
    <col min="1" max="1" width="19.537037037037" customWidth="1"/>
    <col min="2" max="2" width="41.5277777777778" customWidth="1"/>
    <col min="3" max="3" width="10.712962962963" customWidth="1"/>
    <col min="4" max="30" width="7.18518518518519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9" t="s">
        <v>355</v>
      </c>
      <c r="B6" s="30"/>
      <c r="C6" s="31">
        <f>C9</f>
        <v>13.7615</v>
      </c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>
        <f>Y9</f>
        <v>5.5046</v>
      </c>
      <c r="Z6" s="31">
        <f>Z9</f>
        <v>8.2569</v>
      </c>
      <c r="AA6" s="31"/>
      <c r="AB6" s="31"/>
      <c r="AC6" s="31"/>
      <c r="AD6" s="31"/>
    </row>
    <row r="7" ht="19.55" customHeight="1" spans="1:30">
      <c r="A7" s="32" t="s">
        <v>165</v>
      </c>
      <c r="B7" s="32" t="s">
        <v>226</v>
      </c>
      <c r="C7" s="31">
        <f>C9</f>
        <v>13.7615</v>
      </c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>
        <f>Y9</f>
        <v>5.5046</v>
      </c>
      <c r="Z7" s="31">
        <f>Z9</f>
        <v>8.2569</v>
      </c>
      <c r="AA7" s="31"/>
      <c r="AB7" s="31"/>
      <c r="AC7" s="31"/>
      <c r="AD7" s="31"/>
    </row>
    <row r="8" ht="19.55" customHeight="1" spans="1:30">
      <c r="A8" s="33" t="s">
        <v>356</v>
      </c>
      <c r="B8" s="33" t="s">
        <v>357</v>
      </c>
      <c r="C8" s="31">
        <f>C9</f>
        <v>13.7615</v>
      </c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>
        <f>Y9</f>
        <v>5.5046</v>
      </c>
      <c r="Z8" s="31">
        <f>Z9</f>
        <v>8.2569</v>
      </c>
      <c r="AA8" s="31"/>
      <c r="AB8" s="31"/>
      <c r="AC8" s="31"/>
      <c r="AD8" s="31"/>
    </row>
    <row r="9" ht="19.55" customHeight="1" spans="1:30">
      <c r="A9" s="33" t="s">
        <v>173</v>
      </c>
      <c r="B9" s="33" t="s">
        <v>174</v>
      </c>
      <c r="C9" s="24">
        <f>'8一般公共预算基本支出表（纵向）'!C16</f>
        <v>13.7615</v>
      </c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>
        <f>'8一般公共预算基本支出表（纵向）'!E28</f>
        <v>5.5046</v>
      </c>
      <c r="Z9" s="24">
        <f>'8一般公共预算基本支出表（纵向）'!E29</f>
        <v>8.2569</v>
      </c>
      <c r="AA9" s="24"/>
      <c r="AB9" s="24"/>
      <c r="AC9" s="24"/>
      <c r="AD9" s="24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D23" sqref="D23"/>
    </sheetView>
  </sheetViews>
  <sheetFormatPr defaultColWidth="10" defaultRowHeight="14.4" outlineLevelRow="7" outlineLevelCol="7"/>
  <cols>
    <col min="1" max="1" width="12.8888888888889" customWidth="1"/>
    <col min="2" max="2" width="29.712962962963" customWidth="1"/>
    <col min="3" max="3" width="20.7592592592593" customWidth="1"/>
    <col min="4" max="4" width="12.3518518518519" customWidth="1"/>
    <col min="5" max="5" width="10.3148148148148" customWidth="1"/>
    <col min="6" max="6" width="14.1203703703704" customWidth="1"/>
    <col min="7" max="8" width="13.703703703703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部门：127025_益阳市综合中专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127025</v>
      </c>
      <c r="B7" s="12" t="str">
        <f>封面!E5</f>
        <v>益阳市综合中专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127025</v>
      </c>
      <c r="B8" s="19" t="str">
        <f>B7</f>
        <v>益阳市综合中专</v>
      </c>
      <c r="C8" s="24"/>
      <c r="D8" s="24"/>
      <c r="E8" s="6"/>
      <c r="F8" s="24"/>
      <c r="G8" s="24"/>
      <c r="H8" s="24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4.4" outlineLevelCol="7"/>
  <cols>
    <col min="1" max="1" width="11.3981481481481" customWidth="1"/>
    <col min="2" max="2" width="24.8333333333333" customWidth="1"/>
    <col min="3" max="3" width="16.1481481481481" customWidth="1"/>
    <col min="4" max="4" width="12.8888888888889" customWidth="1"/>
    <col min="5" max="5" width="12.75" customWidth="1"/>
    <col min="6" max="6" width="13.8425925925926" customWidth="1"/>
    <col min="7" max="7" width="14.1203703703704" customWidth="1"/>
    <col min="8" max="8" width="16.287037037037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部门：127025_益阳市综合中专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3"/>
      <c r="B9" s="23"/>
      <c r="C9" s="13"/>
      <c r="D9" s="13"/>
      <c r="E9" s="13"/>
      <c r="F9" s="13"/>
      <c r="G9" s="13"/>
      <c r="H9" s="13"/>
    </row>
    <row r="10" ht="22.8" customHeight="1" spans="1:8">
      <c r="A10" s="23"/>
      <c r="B10" s="23"/>
      <c r="C10" s="13"/>
      <c r="D10" s="13"/>
      <c r="E10" s="13"/>
      <c r="F10" s="13"/>
      <c r="G10" s="13"/>
      <c r="H10" s="13"/>
    </row>
    <row r="11" ht="22.8" customHeight="1" spans="1:8">
      <c r="A11" s="23"/>
      <c r="B11" s="23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4"/>
      <c r="F12" s="24"/>
      <c r="G12" s="24"/>
      <c r="H12" s="24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opLeftCell="A14" workbookViewId="0">
      <selection activeCell="B23" sqref="B23:C23"/>
    </sheetView>
  </sheetViews>
  <sheetFormatPr defaultColWidth="10" defaultRowHeight="14.4" outlineLevelCol="2"/>
  <cols>
    <col min="1" max="1" width="6.37962962962963" customWidth="1"/>
    <col min="2" max="2" width="9.90740740740741" customWidth="1"/>
    <col min="3" max="3" width="52.3796296296296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32" t="s">
        <v>5</v>
      </c>
      <c r="C3" s="32"/>
    </row>
    <row r="4" ht="32.55" customHeight="1" spans="2:3">
      <c r="B4" s="61">
        <v>1</v>
      </c>
      <c r="C4" s="62" t="s">
        <v>6</v>
      </c>
    </row>
    <row r="5" ht="32.55" customHeight="1" spans="2:3">
      <c r="B5" s="61">
        <v>2</v>
      </c>
      <c r="C5" s="63" t="s">
        <v>7</v>
      </c>
    </row>
    <row r="6" ht="32.55" customHeight="1" spans="2:3">
      <c r="B6" s="61">
        <v>3</v>
      </c>
      <c r="C6" s="62" t="s">
        <v>8</v>
      </c>
    </row>
    <row r="7" ht="32.55" customHeight="1" spans="2:3">
      <c r="B7" s="61">
        <v>4</v>
      </c>
      <c r="C7" s="62" t="s">
        <v>9</v>
      </c>
    </row>
    <row r="8" ht="32.55" customHeight="1" spans="2:3">
      <c r="B8" s="61">
        <v>5</v>
      </c>
      <c r="C8" s="62" t="s">
        <v>10</v>
      </c>
    </row>
    <row r="9" ht="32.55" customHeight="1" spans="2:3">
      <c r="B9" s="61">
        <v>6</v>
      </c>
      <c r="C9" s="62" t="s">
        <v>11</v>
      </c>
    </row>
    <row r="10" ht="32.55" customHeight="1" spans="2:3">
      <c r="B10" s="61">
        <v>7</v>
      </c>
      <c r="C10" s="62" t="s">
        <v>12</v>
      </c>
    </row>
    <row r="11" ht="32.55" customHeight="1" spans="2:3">
      <c r="B11" s="61">
        <v>8</v>
      </c>
      <c r="C11" s="62" t="s">
        <v>13</v>
      </c>
    </row>
    <row r="12" ht="32.55" customHeight="1" spans="2:3">
      <c r="B12" s="61">
        <v>9</v>
      </c>
      <c r="C12" s="62" t="s">
        <v>14</v>
      </c>
    </row>
    <row r="13" ht="32.55" customHeight="1" spans="2:3">
      <c r="B13" s="61">
        <v>10</v>
      </c>
      <c r="C13" s="62" t="s">
        <v>15</v>
      </c>
    </row>
    <row r="14" ht="32.55" customHeight="1" spans="2:3">
      <c r="B14" s="61">
        <v>11</v>
      </c>
      <c r="C14" s="62" t="s">
        <v>16</v>
      </c>
    </row>
    <row r="15" ht="32.55" customHeight="1" spans="2:3">
      <c r="B15" s="61">
        <v>12</v>
      </c>
      <c r="C15" s="62" t="s">
        <v>17</v>
      </c>
    </row>
    <row r="16" ht="32.55" customHeight="1" spans="2:3">
      <c r="B16" s="61">
        <v>13</v>
      </c>
      <c r="C16" s="62" t="s">
        <v>18</v>
      </c>
    </row>
    <row r="17" ht="32.55" customHeight="1" spans="2:3">
      <c r="B17" s="61">
        <v>14</v>
      </c>
      <c r="C17" s="62" t="s">
        <v>19</v>
      </c>
    </row>
    <row r="18" ht="32.55" customHeight="1" spans="2:3">
      <c r="B18" s="61">
        <v>15</v>
      </c>
      <c r="C18" s="62" t="s">
        <v>20</v>
      </c>
    </row>
    <row r="19" ht="32.55" customHeight="1" spans="2:3">
      <c r="B19" s="61">
        <v>16</v>
      </c>
      <c r="C19" s="62" t="s">
        <v>21</v>
      </c>
    </row>
    <row r="20" ht="32.55" customHeight="1" spans="2:3">
      <c r="B20" s="61">
        <v>17</v>
      </c>
      <c r="C20" s="62" t="s">
        <v>22</v>
      </c>
    </row>
    <row r="21" ht="32.55" customHeight="1" spans="2:3">
      <c r="B21" s="61">
        <v>18</v>
      </c>
      <c r="C21" s="62" t="s">
        <v>23</v>
      </c>
    </row>
    <row r="22" ht="32.55" customHeight="1" spans="2:3">
      <c r="B22" s="61">
        <v>19</v>
      </c>
      <c r="C22" s="62" t="s">
        <v>24</v>
      </c>
    </row>
    <row r="23" ht="32.55" customHeight="1" spans="2:3">
      <c r="B23" s="61">
        <v>20</v>
      </c>
      <c r="C23" s="62" t="s">
        <v>25</v>
      </c>
    </row>
    <row r="24" ht="32.55" customHeight="1" spans="2:3">
      <c r="B24" s="61">
        <v>21</v>
      </c>
      <c r="C24" s="62" t="s">
        <v>26</v>
      </c>
    </row>
    <row r="25" ht="32.55" customHeight="1" spans="2:3">
      <c r="B25" s="61">
        <v>22</v>
      </c>
      <c r="C25" s="62" t="s">
        <v>27</v>
      </c>
    </row>
    <row r="26" ht="32.55" customHeight="1" spans="2:3">
      <c r="B26" s="61">
        <v>23</v>
      </c>
      <c r="C26" s="62" t="s">
        <v>28</v>
      </c>
    </row>
    <row r="27" ht="32.55" customHeight="1" spans="2:3">
      <c r="B27" s="61">
        <v>24</v>
      </c>
      <c r="C27" s="62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4.4"/>
  <cols>
    <col min="1" max="1" width="4.47222222222222" customWidth="1"/>
    <col min="2" max="2" width="4.75" customWidth="1"/>
    <col min="3" max="3" width="5.01851851851852" customWidth="1"/>
    <col min="4" max="4" width="6.64814814814815" customWidth="1"/>
    <col min="5" max="5" width="16.4166666666667" customWidth="1"/>
    <col min="6" max="6" width="11.8055555555556" customWidth="1"/>
    <col min="7" max="20" width="7.18518518518519" customWidth="1"/>
    <col min="21" max="21" width="9.76851851851852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5"/>
      <c r="B8" s="25"/>
      <c r="C8" s="25"/>
      <c r="D8" s="23"/>
      <c r="E8" s="2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6"/>
      <c r="B9" s="26"/>
      <c r="C9" s="26"/>
      <c r="D9" s="19"/>
      <c r="E9" s="27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4.4"/>
  <cols>
    <col min="1" max="1" width="3.7962962962963" customWidth="1"/>
    <col min="2" max="3" width="3.93518518518518" customWidth="1"/>
    <col min="4" max="4" width="6.78703703703704" customWidth="1"/>
    <col min="5" max="5" width="15.8796296296296" customWidth="1"/>
    <col min="6" max="6" width="9.22222222222222" customWidth="1"/>
    <col min="7" max="20" width="7.18518518518519" customWidth="1"/>
    <col min="21" max="21" width="9.76851851851852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5"/>
      <c r="B8" s="25"/>
      <c r="C8" s="25"/>
      <c r="D8" s="23"/>
      <c r="E8" s="2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6"/>
      <c r="B9" s="26"/>
      <c r="C9" s="26"/>
      <c r="D9" s="19"/>
      <c r="E9" s="27"/>
      <c r="F9" s="24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4.4" outlineLevelCol="7"/>
  <cols>
    <col min="1" max="1" width="11.1296296296296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203703703704" customWidth="1"/>
    <col min="7" max="7" width="15.3333333333333" customWidth="1"/>
    <col min="8" max="8" width="17.6388888888889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部门：127025_益阳市综合中专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3"/>
      <c r="B9" s="23"/>
      <c r="C9" s="13"/>
      <c r="D9" s="13"/>
      <c r="E9" s="13"/>
      <c r="F9" s="13"/>
      <c r="G9" s="13"/>
      <c r="H9" s="13"/>
    </row>
    <row r="10" ht="22.8" customHeight="1" spans="1:8">
      <c r="A10" s="23"/>
      <c r="B10" s="23"/>
      <c r="C10" s="13"/>
      <c r="D10" s="13"/>
      <c r="E10" s="13"/>
      <c r="F10" s="13"/>
      <c r="G10" s="13"/>
      <c r="H10" s="13"/>
    </row>
    <row r="11" ht="22.8" customHeight="1" spans="1:8">
      <c r="A11" s="23"/>
      <c r="B11" s="23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4"/>
      <c r="F12" s="24"/>
      <c r="G12" s="24"/>
      <c r="H12" s="24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4.4" outlineLevelCol="7"/>
  <cols>
    <col min="1" max="1" width="10.712962962963" customWidth="1"/>
    <col min="2" max="2" width="22.7962962962963" customWidth="1"/>
    <col min="3" max="3" width="19.2685185185185" customWidth="1"/>
    <col min="4" max="4" width="16.6944444444444" customWidth="1"/>
    <col min="5" max="6" width="16.4166666666667" customWidth="1"/>
    <col min="7" max="8" width="17.6388888888889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部门：127025_益阳市综合中专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35.4438</v>
      </c>
      <c r="D7" s="13"/>
      <c r="E7" s="13"/>
      <c r="F7" s="13"/>
      <c r="G7" s="13"/>
      <c r="H7" s="13">
        <f>H12</f>
        <v>35.4438</v>
      </c>
    </row>
    <row r="8" ht="22.8" customHeight="1" spans="1:8">
      <c r="A8" s="12">
        <f>'16三公'!A7</f>
        <v>127025</v>
      </c>
      <c r="B8" s="12" t="str">
        <f>'16三公'!B7</f>
        <v>益阳市综合中专</v>
      </c>
      <c r="C8" s="13">
        <f t="shared" si="0"/>
        <v>35.4438</v>
      </c>
      <c r="D8" s="13"/>
      <c r="E8" s="13"/>
      <c r="F8" s="13"/>
      <c r="G8" s="13"/>
      <c r="H8" s="13">
        <f>H12</f>
        <v>35.4438</v>
      </c>
    </row>
    <row r="9" ht="22.8" customHeight="1" spans="1:8">
      <c r="A9" s="23">
        <f>A8</f>
        <v>127025</v>
      </c>
      <c r="B9" s="23" t="str">
        <f>B8</f>
        <v>益阳市综合中专</v>
      </c>
      <c r="C9" s="13">
        <f t="shared" si="0"/>
        <v>35.4438</v>
      </c>
      <c r="D9" s="13"/>
      <c r="E9" s="13"/>
      <c r="F9" s="13"/>
      <c r="G9" s="13"/>
      <c r="H9" s="13">
        <f>H12</f>
        <v>35.4438</v>
      </c>
    </row>
    <row r="10" ht="22.8" customHeight="1" spans="1:8">
      <c r="A10" s="23" t="s">
        <v>395</v>
      </c>
      <c r="B10" s="23" t="s">
        <v>396</v>
      </c>
      <c r="C10" s="13">
        <f t="shared" si="0"/>
        <v>35.4438</v>
      </c>
      <c r="D10" s="13"/>
      <c r="E10" s="13"/>
      <c r="F10" s="13"/>
      <c r="G10" s="13"/>
      <c r="H10" s="13">
        <f>H12</f>
        <v>35.4438</v>
      </c>
    </row>
    <row r="11" ht="22.8" customHeight="1" spans="1:8">
      <c r="A11" s="23" t="s">
        <v>397</v>
      </c>
      <c r="B11" s="23" t="s">
        <v>398</v>
      </c>
      <c r="C11" s="13">
        <f t="shared" si="0"/>
        <v>35.4438</v>
      </c>
      <c r="D11" s="13"/>
      <c r="E11" s="13"/>
      <c r="F11" s="13"/>
      <c r="G11" s="13"/>
      <c r="H11" s="13">
        <f>H12</f>
        <v>35.4438</v>
      </c>
    </row>
    <row r="12" ht="22.8" customHeight="1" spans="1:8">
      <c r="A12" s="19" t="s">
        <v>399</v>
      </c>
      <c r="B12" s="19" t="s">
        <v>400</v>
      </c>
      <c r="C12" s="6">
        <f t="shared" si="0"/>
        <v>35.4438</v>
      </c>
      <c r="D12" s="6"/>
      <c r="E12" s="24"/>
      <c r="F12" s="24"/>
      <c r="G12" s="24"/>
      <c r="H12" s="24">
        <f>'1收支总表'!B32</f>
        <v>35.4438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13" workbookViewId="0">
      <selection activeCell="M26" sqref="A26:M26"/>
    </sheetView>
  </sheetViews>
  <sheetFormatPr defaultColWidth="10" defaultRowHeight="14.4"/>
  <cols>
    <col min="1" max="1" width="10.0462962962963" customWidth="1"/>
    <col min="2" max="2" width="21.712962962963" customWidth="1"/>
    <col min="3" max="3" width="13.2962962962963" customWidth="1"/>
    <col min="4" max="4" width="8.59259259259259" customWidth="1"/>
    <col min="5" max="14" width="7.69444444444444" customWidth="1"/>
    <col min="15" max="17" width="9.76851851851852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565.7427</v>
      </c>
      <c r="D7" s="13">
        <f>M8</f>
        <v>565.7427</v>
      </c>
      <c r="E7" s="13"/>
      <c r="F7" s="13"/>
      <c r="G7" s="13"/>
      <c r="H7" s="13"/>
      <c r="I7" s="13"/>
      <c r="J7" s="13"/>
      <c r="K7" s="13"/>
      <c r="L7" s="13"/>
      <c r="M7" s="13">
        <f>M8</f>
        <v>565.7427</v>
      </c>
      <c r="N7" s="14"/>
    </row>
    <row r="8" ht="22.8" customHeight="1" spans="1:14">
      <c r="A8" s="12">
        <f>'21财政专户管理资金'!$A$8</f>
        <v>127025</v>
      </c>
      <c r="B8" s="12" t="str">
        <f>'21财政专户管理资金'!B8</f>
        <v>益阳市综合中专</v>
      </c>
      <c r="C8" s="13">
        <f>D8</f>
        <v>565.7427</v>
      </c>
      <c r="D8" s="13">
        <f>M8</f>
        <v>565.7427</v>
      </c>
      <c r="E8" s="13"/>
      <c r="F8" s="13"/>
      <c r="G8" s="13"/>
      <c r="H8" s="13"/>
      <c r="I8" s="13"/>
      <c r="J8" s="13"/>
      <c r="K8" s="13"/>
      <c r="L8" s="13"/>
      <c r="M8" s="13">
        <f>SUM(M9:M28)</f>
        <v>565.7427</v>
      </c>
      <c r="N8" s="14"/>
    </row>
    <row r="9" ht="22.8" customHeight="1" spans="1:14">
      <c r="A9" s="8">
        <f>'21财政专户管理资金'!$A$8</f>
        <v>127025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127025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127025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127025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20">
        <f>'21财政专户管理资金'!$A$8</f>
        <v>127025</v>
      </c>
      <c r="B13" s="21" t="s">
        <v>419</v>
      </c>
      <c r="C13" s="22">
        <f t="shared" si="0"/>
        <v>119</v>
      </c>
      <c r="D13" s="22">
        <f t="shared" si="1"/>
        <v>119</v>
      </c>
      <c r="E13" s="22"/>
      <c r="F13" s="22"/>
      <c r="G13" s="22"/>
      <c r="H13" s="22"/>
      <c r="I13" s="22"/>
      <c r="J13" s="22"/>
      <c r="K13" s="22"/>
      <c r="L13" s="22"/>
      <c r="M13" s="22">
        <f>VLOOKUP(B8,[2]Sheet1!$A:$AI,35,0)/10000</f>
        <v>119</v>
      </c>
      <c r="N13" s="5"/>
    </row>
    <row r="14" ht="22.8" customHeight="1" spans="1:14">
      <c r="A14" s="8">
        <f>'21财政专户管理资金'!$A$8</f>
        <v>127025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20">
        <f>'21财政专户管理资金'!$A$8</f>
        <v>127025</v>
      </c>
      <c r="B15" s="21" t="s">
        <v>421</v>
      </c>
      <c r="C15" s="22">
        <f t="shared" si="0"/>
        <v>5.8987</v>
      </c>
      <c r="D15" s="22">
        <f t="shared" si="1"/>
        <v>5.8987</v>
      </c>
      <c r="E15" s="22"/>
      <c r="F15" s="22"/>
      <c r="G15" s="22"/>
      <c r="H15" s="22"/>
      <c r="I15" s="22"/>
      <c r="J15" s="22"/>
      <c r="K15" s="22"/>
      <c r="L15" s="22"/>
      <c r="M15" s="22">
        <f>VLOOKUP(B8,[2]Sheet1!$A:$V,22,0)/10000</f>
        <v>5.8987</v>
      </c>
      <c r="N15" s="5"/>
    </row>
    <row r="16" ht="22.8" customHeight="1" spans="1:14">
      <c r="A16" s="8">
        <f>'21财政专户管理资金'!$A$8</f>
        <v>127025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127025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127025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127025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20">
        <f>'21财政专户管理资金'!$A$8</f>
        <v>127025</v>
      </c>
      <c r="B20" s="21" t="s">
        <v>426</v>
      </c>
      <c r="C20" s="22">
        <f t="shared" si="0"/>
        <v>1.412</v>
      </c>
      <c r="D20" s="22">
        <f t="shared" si="1"/>
        <v>1.412</v>
      </c>
      <c r="E20" s="22"/>
      <c r="F20" s="22"/>
      <c r="G20" s="22"/>
      <c r="H20" s="22"/>
      <c r="I20" s="22"/>
      <c r="J20" s="22"/>
      <c r="K20" s="22"/>
      <c r="L20" s="22"/>
      <c r="M20" s="22">
        <f>VLOOKUP(B8,[2]Sheet1!$A:$AD,30,0)/10000</f>
        <v>1.412</v>
      </c>
      <c r="N20" s="5"/>
    </row>
    <row r="21" ht="22.8" customHeight="1" spans="1:14">
      <c r="A21" s="8">
        <f>'21财政专户管理资金'!$A$8</f>
        <v>127025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127025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127025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127025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20">
        <f>'21财政专户管理资金'!$A$8</f>
        <v>127025</v>
      </c>
      <c r="B25" s="21" t="s">
        <v>431</v>
      </c>
      <c r="C25" s="22">
        <f t="shared" si="0"/>
        <v>271.432</v>
      </c>
      <c r="D25" s="22">
        <f t="shared" si="1"/>
        <v>271.432</v>
      </c>
      <c r="E25" s="22"/>
      <c r="F25" s="22"/>
      <c r="G25" s="22"/>
      <c r="H25" s="22"/>
      <c r="I25" s="22"/>
      <c r="J25" s="22"/>
      <c r="K25" s="22"/>
      <c r="L25" s="22"/>
      <c r="M25" s="22">
        <f>VLOOKUP(B8,[2]Sheet1!$A:$AA,27,0)/10000</f>
        <v>271.432</v>
      </c>
      <c r="N25" s="5"/>
    </row>
    <row r="26" ht="22.8" customHeight="1" spans="1:14">
      <c r="A26" s="20">
        <f>'21财政专户管理资金'!$A$8</f>
        <v>127025</v>
      </c>
      <c r="B26" s="21" t="s">
        <v>432</v>
      </c>
      <c r="C26" s="22">
        <f t="shared" si="0"/>
        <v>59</v>
      </c>
      <c r="D26" s="22">
        <f t="shared" si="1"/>
        <v>59</v>
      </c>
      <c r="E26" s="22"/>
      <c r="F26" s="22"/>
      <c r="G26" s="22"/>
      <c r="H26" s="22"/>
      <c r="I26" s="22"/>
      <c r="J26" s="22"/>
      <c r="K26" s="22"/>
      <c r="L26" s="22"/>
      <c r="M26" s="22">
        <f>VLOOKUP(B8,[2]Sheet1!$A:$X,24,0)/10000</f>
        <v>59</v>
      </c>
      <c r="N26" s="5"/>
    </row>
    <row r="27" ht="22.8" customHeight="1" spans="1:14">
      <c r="A27" s="20">
        <f>'21财政专户管理资金'!$A$8</f>
        <v>127025</v>
      </c>
      <c r="B27" s="21" t="s">
        <v>433</v>
      </c>
      <c r="C27" s="22">
        <f t="shared" si="0"/>
        <v>109</v>
      </c>
      <c r="D27" s="22">
        <f t="shared" si="1"/>
        <v>109</v>
      </c>
      <c r="E27" s="22"/>
      <c r="F27" s="22"/>
      <c r="G27" s="22"/>
      <c r="H27" s="22"/>
      <c r="I27" s="22"/>
      <c r="J27" s="22"/>
      <c r="K27" s="22"/>
      <c r="L27" s="22"/>
      <c r="M27" s="22">
        <f>VLOOKUP(B8,[2]Sheet1!$A:$Y,25,0)/10000</f>
        <v>109</v>
      </c>
      <c r="N27" s="5"/>
    </row>
    <row r="28" ht="22.8" customHeight="1" spans="1:14">
      <c r="A28" s="8">
        <f>'21财政专户管理资金'!$A$8</f>
        <v>127025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84" activePane="bottomLeft" state="frozen"/>
      <selection/>
      <selection pane="bottomLeft" activeCell="C7" sqref="C7:C226"/>
    </sheetView>
  </sheetViews>
  <sheetFormatPr defaultColWidth="10" defaultRowHeight="14.4"/>
  <cols>
    <col min="1" max="1" width="6.78703703703704" customWidth="1"/>
    <col min="2" max="2" width="15.0648148148148" customWidth="1"/>
    <col min="3" max="3" width="8.5462962962963" customWidth="1"/>
    <col min="4" max="4" width="12.2037037037037" customWidth="1"/>
    <col min="5" max="5" width="7.46296296296296" customWidth="1"/>
    <col min="6" max="6" width="8.13888888888889" customWidth="1"/>
    <col min="7" max="7" width="11.2592592592593" customWidth="1"/>
    <col min="8" max="8" width="18.1851851851852" customWidth="1"/>
    <col min="9" max="9" width="9.5" customWidth="1"/>
    <col min="10" max="10" width="8.9537037037037" customWidth="1"/>
    <col min="11" max="11" width="8.13888888888889" customWidth="1"/>
    <col min="12" max="12" width="9.76851851851852" customWidth="1"/>
    <col min="13" max="13" width="16.8240740740741" customWidth="1"/>
    <col min="14" max="16" width="9.76851851851852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127025</v>
      </c>
      <c r="B6" s="12" t="str">
        <f>'22专项清单'!B8</f>
        <v>益阳市综合中专</v>
      </c>
      <c r="C6" s="13">
        <f>'22专项清单'!C7</f>
        <v>565.7427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127025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127025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127025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127025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127025</v>
      </c>
      <c r="B51" s="5" t="s">
        <v>419</v>
      </c>
      <c r="C51" s="6">
        <f>VLOOKUP(B51,'22专项清单'!B:C,2,0)</f>
        <v>119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127025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127025</v>
      </c>
      <c r="B73" s="5" t="s">
        <v>421</v>
      </c>
      <c r="C73" s="6">
        <f>VLOOKUP(B73,'22专项清单'!B:C,2,0)</f>
        <v>5.8987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127025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127025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127025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127025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127025</v>
      </c>
      <c r="B128" s="5" t="s">
        <v>426</v>
      </c>
      <c r="C128" s="6">
        <f>VLOOKUP(B128,'22专项清单'!B:C,2,0)</f>
        <v>1.412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127025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127025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127025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127025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127025</v>
      </c>
      <c r="B183" s="5" t="s">
        <v>431</v>
      </c>
      <c r="C183" s="6">
        <f>VLOOKUP(B183,'22专项清单'!B:C,2,0)</f>
        <v>271.432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127025</v>
      </c>
      <c r="B194" s="5" t="s">
        <v>432</v>
      </c>
      <c r="C194" s="6">
        <f>VLOOKUP(B194,'22专项清单'!B:C,2,0)</f>
        <v>59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127025</v>
      </c>
      <c r="B205" s="5" t="s">
        <v>433</v>
      </c>
      <c r="C205" s="6">
        <f>VLOOKUP(B205,'22专项清单'!B:C,2,0)</f>
        <v>109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127025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topLeftCell="A4" workbookViewId="0">
      <selection activeCell="J21" sqref="J21"/>
    </sheetView>
  </sheetViews>
  <sheetFormatPr defaultColWidth="10" defaultRowHeight="14.4"/>
  <cols>
    <col min="1" max="1" width="7.60185185185185" customWidth="1"/>
    <col min="2" max="2" width="16.962962962963" customWidth="1"/>
    <col min="3" max="3" width="8.68518518518519" customWidth="1"/>
    <col min="4" max="4" width="7.60185185185185" customWidth="1"/>
    <col min="5" max="5" width="8" customWidth="1"/>
    <col min="6" max="6" width="8.81481481481481" customWidth="1"/>
    <col min="7" max="7" width="8.13888888888889" customWidth="1"/>
    <col min="8" max="9" width="7.60185185185185" customWidth="1"/>
    <col min="10" max="10" width="28.2222222222222" customWidth="1"/>
    <col min="11" max="11" width="7.05555555555556" customWidth="1"/>
    <col min="12" max="12" width="7.87962962962963" customWidth="1"/>
    <col min="13" max="13" width="9.09259259259259" customWidth="1"/>
    <col min="14" max="14" width="8" customWidth="1"/>
    <col min="15" max="15" width="7.46296296296296" customWidth="1"/>
    <col min="16" max="16" width="6.50925925925926" customWidth="1"/>
    <col min="17" max="17" width="21.8518518518519" customWidth="1"/>
    <col min="18" max="18" width="33.25" customWidth="1"/>
    <col min="19" max="19" width="12.6296296296296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部门：127025_益阳市综合中专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127025</v>
      </c>
      <c r="B8" s="5" t="str">
        <f>'23项目支出绩效目标表'!B6</f>
        <v>益阳市综合中专</v>
      </c>
      <c r="C8" s="6">
        <f>D8+F8+G8</f>
        <v>1271.3349</v>
      </c>
      <c r="D8" s="6">
        <f>'1收支总表'!B6</f>
        <v>1116.8911</v>
      </c>
      <c r="E8" s="6"/>
      <c r="F8" s="6">
        <f>'1收支总表'!B23</f>
        <v>119</v>
      </c>
      <c r="G8" s="6">
        <f>'1收支总表'!B32</f>
        <v>35.4438</v>
      </c>
      <c r="H8" s="6">
        <f>'1收支总表'!F6</f>
        <v>705.5922</v>
      </c>
      <c r="I8" s="6">
        <f>'1收支总表'!F10</f>
        <v>565.7427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workbookViewId="0">
      <selection activeCell="J13" sqref="J13"/>
    </sheetView>
  </sheetViews>
  <sheetFormatPr defaultColWidth="10" defaultRowHeight="14.4" outlineLevelCol="7"/>
  <cols>
    <col min="1" max="1" width="29.4537037037037" customWidth="1"/>
    <col min="2" max="2" width="10.1759259259259" customWidth="1"/>
    <col min="3" max="3" width="23.0648148148148" customWidth="1"/>
    <col min="4" max="4" width="10.5833333333333" customWidth="1"/>
    <col min="5" max="5" width="24.0185185185185" customWidth="1"/>
    <col min="6" max="6" width="10.4537037037037" customWidth="1"/>
    <col min="7" max="7" width="20.212962962963" customWidth="1"/>
    <col min="8" max="8" width="10.9907407407407" customWidth="1"/>
  </cols>
  <sheetData>
    <row r="1" ht="12.9" customHeight="1" spans="1:8">
      <c r="A1" s="1"/>
      <c r="H1" s="16" t="s">
        <v>30</v>
      </c>
    </row>
    <row r="2" ht="24.15" customHeight="1" spans="1:8">
      <c r="A2" s="60" t="s">
        <v>6</v>
      </c>
      <c r="B2" s="60"/>
      <c r="C2" s="60"/>
      <c r="D2" s="60"/>
      <c r="E2" s="60"/>
      <c r="F2" s="60"/>
      <c r="G2" s="60"/>
      <c r="H2" s="60"/>
    </row>
    <row r="3" ht="17.25" customHeight="1" spans="1:8">
      <c r="A3" s="11" t="str">
        <f>"部门："&amp;封面!E4&amp;"_"&amp;封面!E5</f>
        <v>部门：127025_益阳市综合中专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1116.8911</v>
      </c>
      <c r="C6" s="5" t="s">
        <v>40</v>
      </c>
      <c r="D6" s="24"/>
      <c r="E6" s="14" t="s">
        <v>41</v>
      </c>
      <c r="F6" s="13">
        <f>SUM(F7:F9)</f>
        <v>705.5922</v>
      </c>
      <c r="G6" s="5" t="s">
        <v>42</v>
      </c>
      <c r="H6" s="6">
        <f>F7</f>
        <v>691.0027</v>
      </c>
    </row>
    <row r="7" ht="16.25" customHeight="1" spans="1:8">
      <c r="A7" s="5" t="s">
        <v>43</v>
      </c>
      <c r="B7" s="6"/>
      <c r="C7" s="5" t="s">
        <v>44</v>
      </c>
      <c r="D7" s="24"/>
      <c r="E7" s="5" t="s">
        <v>45</v>
      </c>
      <c r="F7" s="6" cm="1">
        <f t="array" ref="F7">SUM(IF([2]Sheet1!$A:$A=封面!E5,[2]Sheet1!$K:$L,0))/10000</f>
        <v>691.0027</v>
      </c>
      <c r="G7" s="5" t="s">
        <v>46</v>
      </c>
      <c r="H7" s="6">
        <f>F8+F12</f>
        <v>579.5042</v>
      </c>
    </row>
    <row r="8" ht="16.25" customHeight="1" spans="1:8">
      <c r="A8" s="14" t="s">
        <v>47</v>
      </c>
      <c r="B8" s="6"/>
      <c r="C8" s="5" t="s">
        <v>48</v>
      </c>
      <c r="D8" s="24"/>
      <c r="E8" s="5" t="s">
        <v>49</v>
      </c>
      <c r="F8" s="6" cm="1">
        <f t="array" ref="F8">SUM(IF([2]Sheet1!$A:$A=封面!E5,[2]Sheet1!$P:$T,0))/10000</f>
        <v>13.7615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4"/>
      <c r="E9" s="5" t="s">
        <v>53</v>
      </c>
      <c r="F9" s="6" cm="1">
        <f t="array" ref="F9">SUM(IF([2]Sheet1!$A:$A=封面!E5,[2]Sheet1!$N:$O,0))/10000</f>
        <v>0.828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4">
        <f>B23+B6</f>
        <v>1235.8911</v>
      </c>
      <c r="E10" s="14" t="s">
        <v>57</v>
      </c>
      <c r="F10" s="13">
        <f>F12+F16</f>
        <v>565.7427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4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4"/>
      <c r="E12" s="5" t="s">
        <v>65</v>
      </c>
      <c r="F12" s="6" cm="1">
        <f t="array" ref="F12">SUM(IF([2]Sheet1!$A:$A=封面!E5,[2]Sheet1!$U:$AI,0))/10000</f>
        <v>565.7427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4">
        <f>B32</f>
        <v>35.4438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4"/>
      <c r="E14" s="5" t="s">
        <v>73</v>
      </c>
      <c r="F14" s="6"/>
      <c r="G14" s="5" t="s">
        <v>74</v>
      </c>
      <c r="H14" s="6">
        <f>F9</f>
        <v>0.828</v>
      </c>
    </row>
    <row r="15" ht="16.25" customHeight="1" spans="1:8">
      <c r="A15" s="5" t="s">
        <v>75</v>
      </c>
      <c r="B15" s="6"/>
      <c r="C15" s="5" t="s">
        <v>76</v>
      </c>
      <c r="D15" s="24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4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4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4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4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4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4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4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119</v>
      </c>
      <c r="C23" s="5" t="s">
        <v>104</v>
      </c>
      <c r="D23" s="24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4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4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4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4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4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4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4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4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35.4438</v>
      </c>
      <c r="C32" s="5" t="s">
        <v>122</v>
      </c>
      <c r="D32" s="24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4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4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4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1271.3349</v>
      </c>
      <c r="C37" s="14" t="s">
        <v>127</v>
      </c>
      <c r="D37" s="13">
        <f>D13+D10</f>
        <v>1271.3349</v>
      </c>
      <c r="E37" s="14" t="s">
        <v>127</v>
      </c>
      <c r="F37" s="13">
        <f>F10+F6</f>
        <v>1271.3349</v>
      </c>
      <c r="G37" s="14" t="s">
        <v>127</v>
      </c>
      <c r="H37" s="13">
        <f>H14+H8+H7+H6</f>
        <v>1271.3349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1271.3349</v>
      </c>
      <c r="C40" s="14" t="s">
        <v>131</v>
      </c>
      <c r="D40" s="13">
        <f>D37</f>
        <v>1271.3349</v>
      </c>
      <c r="E40" s="14" t="s">
        <v>131</v>
      </c>
      <c r="F40" s="13">
        <f>F37</f>
        <v>1271.3349</v>
      </c>
      <c r="G40" s="14" t="s">
        <v>131</v>
      </c>
      <c r="H40" s="13">
        <f>H37</f>
        <v>1271.3349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F18" sqref="F18"/>
    </sheetView>
  </sheetViews>
  <sheetFormatPr defaultColWidth="10" defaultRowHeight="14.4"/>
  <cols>
    <col min="1" max="1" width="5.83333333333333" customWidth="1"/>
    <col min="2" max="2" width="16.1481481481481" customWidth="1"/>
    <col min="3" max="3" width="9.40740740740741" customWidth="1"/>
    <col min="4" max="4" width="8.0462962962963" customWidth="1"/>
    <col min="5" max="25" width="7.69444444444444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31">
        <f>C9</f>
        <v>1271.3349</v>
      </c>
      <c r="D7" s="31">
        <f>D8</f>
        <v>1271.3349</v>
      </c>
      <c r="E7" s="31">
        <f>E9</f>
        <v>1116.8911</v>
      </c>
      <c r="F7" s="31"/>
      <c r="G7" s="31"/>
      <c r="H7" s="31"/>
      <c r="I7" s="31">
        <f>I9</f>
        <v>119</v>
      </c>
      <c r="J7" s="31"/>
      <c r="K7" s="31"/>
      <c r="L7" s="31"/>
      <c r="M7" s="31"/>
      <c r="N7" s="31"/>
      <c r="O7" s="31"/>
      <c r="P7" s="31"/>
      <c r="Q7" s="31"/>
      <c r="R7" s="31">
        <f>R9</f>
        <v>35.4438</v>
      </c>
      <c r="S7" s="31"/>
      <c r="T7" s="31"/>
      <c r="U7" s="31"/>
      <c r="V7" s="31"/>
      <c r="W7" s="31"/>
      <c r="X7" s="31"/>
      <c r="Y7" s="31"/>
    </row>
    <row r="8" ht="22.8" customHeight="1" spans="1:25">
      <c r="A8" s="12">
        <f>A9</f>
        <v>127025</v>
      </c>
      <c r="B8" s="12" t="str">
        <f>B9</f>
        <v>益阳市综合中专</v>
      </c>
      <c r="C8" s="31">
        <f>C9</f>
        <v>1271.3349</v>
      </c>
      <c r="D8" s="31">
        <f>D9</f>
        <v>1271.3349</v>
      </c>
      <c r="E8" s="31">
        <f>E9</f>
        <v>1116.8911</v>
      </c>
      <c r="F8" s="31"/>
      <c r="G8" s="31"/>
      <c r="H8" s="31"/>
      <c r="I8" s="31">
        <f>I9</f>
        <v>119</v>
      </c>
      <c r="J8" s="31"/>
      <c r="K8" s="31"/>
      <c r="L8" s="31"/>
      <c r="M8" s="31"/>
      <c r="N8" s="31"/>
      <c r="O8" s="31"/>
      <c r="P8" s="31"/>
      <c r="Q8" s="31"/>
      <c r="R8" s="31">
        <f>R9</f>
        <v>35.4438</v>
      </c>
      <c r="S8" s="31"/>
      <c r="T8" s="31"/>
      <c r="U8" s="31"/>
      <c r="V8" s="31"/>
      <c r="W8" s="31"/>
      <c r="X8" s="31"/>
      <c r="Y8" s="31"/>
    </row>
    <row r="9" ht="22.8" customHeight="1" spans="1:25">
      <c r="A9" s="59">
        <f>封面!E4</f>
        <v>127025</v>
      </c>
      <c r="B9" s="59" t="str">
        <f>封面!E5</f>
        <v>益阳市综合中专</v>
      </c>
      <c r="C9" s="24">
        <f>D9</f>
        <v>1271.3349</v>
      </c>
      <c r="D9" s="24">
        <f>E9+I9+R9</f>
        <v>1271.3349</v>
      </c>
      <c r="E9" s="6">
        <f>'1收支总表'!B6</f>
        <v>1116.8911</v>
      </c>
      <c r="F9" s="6"/>
      <c r="G9" s="6"/>
      <c r="H9" s="6"/>
      <c r="I9" s="6">
        <f>'1收支总表'!B23</f>
        <v>119</v>
      </c>
      <c r="J9" s="6"/>
      <c r="K9" s="6"/>
      <c r="L9" s="6"/>
      <c r="M9" s="6"/>
      <c r="N9" s="6"/>
      <c r="O9" s="6"/>
      <c r="P9" s="6"/>
      <c r="Q9" s="6"/>
      <c r="R9" s="6">
        <f>'1收支总表'!B32</f>
        <v>35.4438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M7" sqref="M7"/>
    </sheetView>
  </sheetViews>
  <sheetFormatPr defaultColWidth="10" defaultRowHeight="14.4"/>
  <cols>
    <col min="1" max="1" width="4.62037037037037" customWidth="1"/>
    <col min="2" max="2" width="4.87962962962963" customWidth="1"/>
    <col min="3" max="3" width="5.01851851851852" customWidth="1"/>
    <col min="4" max="4" width="11.9444444444444" customWidth="1"/>
    <col min="5" max="5" width="25.787037037037" customWidth="1"/>
    <col min="6" max="6" width="12.3518518518519" customWidth="1"/>
    <col min="7" max="7" width="11.3981481481481" customWidth="1"/>
    <col min="8" max="8" width="13.9722222222222" customWidth="1"/>
    <col min="9" max="9" width="14.7962962962963" customWidth="1"/>
    <col min="10" max="11" width="17.5" customWidth="1"/>
  </cols>
  <sheetData>
    <row r="1" ht="16.35" customHeight="1" spans="1:11">
      <c r="A1" s="1"/>
      <c r="D1" s="47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8" t="str">
        <f>'1收支总表'!A3</f>
        <v>部门：127025_益阳市综合中专</v>
      </c>
      <c r="B3" s="48"/>
      <c r="C3" s="48"/>
      <c r="D3" s="48"/>
      <c r="E3" s="48"/>
      <c r="F3" s="48"/>
      <c r="G3" s="48"/>
      <c r="H3" s="48"/>
      <c r="I3" s="48"/>
      <c r="J3" s="48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7"/>
      <c r="B6" s="37"/>
      <c r="C6" s="37"/>
      <c r="D6" s="49" t="s">
        <v>135</v>
      </c>
      <c r="E6" s="49"/>
      <c r="F6" s="50">
        <f>'1收支总表'!B37</f>
        <v>1271.3349</v>
      </c>
      <c r="G6" s="50">
        <f>G7</f>
        <v>694.5949</v>
      </c>
      <c r="H6" s="50">
        <f>H7</f>
        <v>576.74</v>
      </c>
      <c r="I6" s="50"/>
      <c r="J6" s="49"/>
      <c r="K6" s="49"/>
    </row>
    <row r="7" ht="22.8" customHeight="1" spans="1:11">
      <c r="A7" s="51"/>
      <c r="B7" s="51"/>
      <c r="C7" s="51"/>
      <c r="D7" s="52">
        <f>封面!E4</f>
        <v>127025</v>
      </c>
      <c r="E7" s="52" t="str">
        <f>封面!E5</f>
        <v>益阳市综合中专</v>
      </c>
      <c r="F7" s="53">
        <f>G7+H7</f>
        <v>1271.3349</v>
      </c>
      <c r="G7" s="53">
        <f>G8</f>
        <v>694.5949</v>
      </c>
      <c r="H7" s="53">
        <f>H8</f>
        <v>576.74</v>
      </c>
      <c r="I7" s="53"/>
      <c r="J7" s="58"/>
      <c r="K7" s="58"/>
    </row>
    <row r="8" ht="22.8" customHeight="1" spans="1:11">
      <c r="A8" s="51"/>
      <c r="B8" s="51"/>
      <c r="C8" s="51"/>
      <c r="D8" s="52">
        <f>D7</f>
        <v>127025</v>
      </c>
      <c r="E8" s="52" t="str">
        <f>E7</f>
        <v>益阳市综合中专</v>
      </c>
      <c r="F8" s="53">
        <f>G8+H8</f>
        <v>1271.3349</v>
      </c>
      <c r="G8" s="53">
        <f>G11+G13</f>
        <v>694.5949</v>
      </c>
      <c r="H8" s="53">
        <f>H9+H10+H11+H12</f>
        <v>576.74</v>
      </c>
      <c r="I8" s="53"/>
      <c r="J8" s="58"/>
      <c r="K8" s="58"/>
    </row>
    <row r="9" ht="22.8" customHeight="1" spans="1:11">
      <c r="A9" s="54" t="s">
        <v>165</v>
      </c>
      <c r="B9" s="54" t="s">
        <v>166</v>
      </c>
      <c r="C9" s="54" t="s">
        <v>167</v>
      </c>
      <c r="D9" s="55" t="s">
        <v>168</v>
      </c>
      <c r="E9" s="56" t="s">
        <v>169</v>
      </c>
      <c r="F9" s="57">
        <v>0</v>
      </c>
      <c r="G9" s="57"/>
      <c r="H9" s="57">
        <v>0</v>
      </c>
      <c r="I9" s="57"/>
      <c r="J9" s="56"/>
      <c r="K9" s="56"/>
    </row>
    <row r="10" ht="22.8" customHeight="1" spans="1:11">
      <c r="A10" s="54" t="s">
        <v>165</v>
      </c>
      <c r="B10" s="54" t="s">
        <v>170</v>
      </c>
      <c r="C10" s="54" t="s">
        <v>166</v>
      </c>
      <c r="D10" s="55" t="s">
        <v>171</v>
      </c>
      <c r="E10" s="56" t="s">
        <v>172</v>
      </c>
      <c r="F10" s="57">
        <v>0</v>
      </c>
      <c r="G10" s="57"/>
      <c r="H10" s="57">
        <v>0</v>
      </c>
      <c r="I10" s="57"/>
      <c r="J10" s="56"/>
      <c r="K10" s="56"/>
    </row>
    <row r="11" ht="22.8" customHeight="1" spans="1:11">
      <c r="A11" s="54" t="s">
        <v>165</v>
      </c>
      <c r="B11" s="54" t="s">
        <v>170</v>
      </c>
      <c r="C11" s="54" t="s">
        <v>167</v>
      </c>
      <c r="D11" s="55" t="s">
        <v>173</v>
      </c>
      <c r="E11" s="56" t="s">
        <v>174</v>
      </c>
      <c r="F11" s="57">
        <f>G11+H11</f>
        <v>1067.8911</v>
      </c>
      <c r="G11" s="57">
        <f>F6-H11-G13-H12</f>
        <v>659.1511</v>
      </c>
      <c r="H11" s="57">
        <v>408.74</v>
      </c>
      <c r="I11" s="57"/>
      <c r="J11" s="56"/>
      <c r="K11" s="56"/>
    </row>
    <row r="12" ht="22.8" customHeight="1" spans="1:11">
      <c r="A12" s="54" t="s">
        <v>165</v>
      </c>
      <c r="B12" s="54" t="s">
        <v>175</v>
      </c>
      <c r="C12" s="54" t="s">
        <v>170</v>
      </c>
      <c r="D12" s="55" t="s">
        <v>176</v>
      </c>
      <c r="E12" s="56" t="s">
        <v>177</v>
      </c>
      <c r="F12" s="57">
        <v>0</v>
      </c>
      <c r="G12" s="57"/>
      <c r="H12" s="57">
        <v>168</v>
      </c>
      <c r="I12" s="57"/>
      <c r="J12" s="56"/>
      <c r="K12" s="56"/>
    </row>
    <row r="13" ht="22.8" customHeight="1" spans="1:11">
      <c r="A13" s="54" t="s">
        <v>178</v>
      </c>
      <c r="B13" s="54" t="s">
        <v>179</v>
      </c>
      <c r="C13" s="54" t="s">
        <v>180</v>
      </c>
      <c r="D13" s="55" t="s">
        <v>181</v>
      </c>
      <c r="E13" s="56" t="s">
        <v>182</v>
      </c>
      <c r="F13" s="57">
        <f>G13</f>
        <v>35.4438</v>
      </c>
      <c r="G13" s="57">
        <f>'1收支总表'!B32</f>
        <v>35.4438</v>
      </c>
      <c r="H13" s="57"/>
      <c r="I13" s="57"/>
      <c r="J13" s="56"/>
      <c r="K13" s="56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zoomScale="115" zoomScaleNormal="115" workbookViewId="0">
      <selection activeCell="A2" sqref="A2:T2"/>
    </sheetView>
  </sheetViews>
  <sheetFormatPr defaultColWidth="10" defaultRowHeight="14.4"/>
  <cols>
    <col min="1" max="1" width="3.66666666666667" customWidth="1"/>
    <col min="2" max="2" width="4.75" customWidth="1"/>
    <col min="3" max="3" width="4.62037037037037" customWidth="1"/>
    <col min="4" max="4" width="7.32407407407407" customWidth="1"/>
    <col min="5" max="5" width="20.0833333333333" customWidth="1"/>
    <col min="6" max="6" width="9.40740740740741" customWidth="1"/>
    <col min="7" max="8" width="8.59259259259259" customWidth="1"/>
    <col min="9" max="12" width="7.18518518518519" customWidth="1"/>
    <col min="13" max="13" width="6.78703703703704" customWidth="1"/>
    <col min="14" max="17" width="7.18518518518519" customWidth="1"/>
    <col min="18" max="18" width="7.05555555555556" customWidth="1"/>
    <col min="19" max="20" width="7.18518518518519" customWidth="1"/>
    <col min="21" max="21" width="9.76851851851852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1271.3349</v>
      </c>
      <c r="G6" s="13">
        <f>G8</f>
        <v>859.01</v>
      </c>
      <c r="H6" s="13">
        <f>H7</f>
        <v>579.5</v>
      </c>
      <c r="I6" s="13">
        <f>I8</f>
        <v>0</v>
      </c>
      <c r="J6" s="13"/>
      <c r="K6" s="13"/>
      <c r="L6" s="13"/>
      <c r="M6" s="13"/>
      <c r="N6" s="13"/>
      <c r="O6" s="13">
        <f>O9</f>
        <v>0.828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127025</v>
      </c>
      <c r="E7" s="12" t="str">
        <f>'3支出总表'!E7</f>
        <v>益阳市综合中专</v>
      </c>
      <c r="F7" s="13">
        <f>F8</f>
        <v>1271.33</v>
      </c>
      <c r="G7" s="13">
        <f>G8</f>
        <v>859.01</v>
      </c>
      <c r="H7" s="13">
        <f>H8</f>
        <v>579.5</v>
      </c>
      <c r="I7" s="13">
        <f>I8</f>
        <v>0</v>
      </c>
      <c r="J7" s="13"/>
      <c r="K7" s="13"/>
      <c r="L7" s="13"/>
      <c r="M7" s="13"/>
      <c r="N7" s="13"/>
      <c r="O7" s="13">
        <f>O8</f>
        <v>0.828</v>
      </c>
      <c r="P7" s="13"/>
      <c r="Q7" s="13"/>
      <c r="R7" s="13"/>
      <c r="S7" s="13"/>
      <c r="T7" s="13"/>
    </row>
    <row r="8" ht="22.8" customHeight="1" spans="1:20">
      <c r="A8" s="25"/>
      <c r="B8" s="25"/>
      <c r="C8" s="25"/>
      <c r="D8" s="23">
        <f t="shared" ref="D8:D13" si="0">D7</f>
        <v>127025</v>
      </c>
      <c r="E8" s="23" t="str">
        <f>E7</f>
        <v>益阳市综合中专</v>
      </c>
      <c r="F8" s="46">
        <v>1271.33</v>
      </c>
      <c r="G8" s="46">
        <v>859.01</v>
      </c>
      <c r="H8" s="46">
        <v>579.5</v>
      </c>
      <c r="I8" s="46">
        <f>I9</f>
        <v>0</v>
      </c>
      <c r="J8" s="46"/>
      <c r="K8" s="46"/>
      <c r="L8" s="46"/>
      <c r="M8" s="46"/>
      <c r="N8" s="46"/>
      <c r="O8" s="46">
        <f>O9</f>
        <v>0.828</v>
      </c>
      <c r="P8" s="46"/>
      <c r="Q8" s="46"/>
      <c r="R8" s="46"/>
      <c r="S8" s="46"/>
      <c r="T8" s="46"/>
    </row>
    <row r="9" ht="22.8" customHeight="1" spans="1:20">
      <c r="A9" s="26" t="s">
        <v>165</v>
      </c>
      <c r="B9" s="26" t="s">
        <v>170</v>
      </c>
      <c r="C9" s="26" t="s">
        <v>167</v>
      </c>
      <c r="D9" s="19">
        <f t="shared" si="0"/>
        <v>127025</v>
      </c>
      <c r="E9" s="27" t="s">
        <v>174</v>
      </c>
      <c r="F9" s="28">
        <f>G9+H9+O9</f>
        <v>1067.8911</v>
      </c>
      <c r="G9" s="28">
        <f>F6-G10-O9-H9-H13</f>
        <v>655.5631</v>
      </c>
      <c r="H9" s="28">
        <v>411.5</v>
      </c>
      <c r="I9" s="28">
        <f>'1收支总表'!H8</f>
        <v>0</v>
      </c>
      <c r="J9" s="28"/>
      <c r="K9" s="28"/>
      <c r="L9" s="28"/>
      <c r="M9" s="28"/>
      <c r="N9" s="28"/>
      <c r="O9" s="28">
        <f>'1收支总表'!H14</f>
        <v>0.828</v>
      </c>
      <c r="P9" s="28"/>
      <c r="Q9" s="28"/>
      <c r="R9" s="28"/>
      <c r="S9" s="28"/>
      <c r="T9" s="28"/>
    </row>
    <row r="10" ht="22.8" customHeight="1" spans="1:20">
      <c r="A10" s="26" t="s">
        <v>178</v>
      </c>
      <c r="B10" s="26" t="s">
        <v>179</v>
      </c>
      <c r="C10" s="26" t="s">
        <v>180</v>
      </c>
      <c r="D10" s="19">
        <f t="shared" si="0"/>
        <v>127025</v>
      </c>
      <c r="E10" s="27" t="s">
        <v>182</v>
      </c>
      <c r="F10" s="28">
        <f>G10</f>
        <v>35.4438</v>
      </c>
      <c r="G10" s="28">
        <f>'1收支总表'!D13</f>
        <v>35.4438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</row>
    <row r="11" ht="22.8" customHeight="1" spans="1:20">
      <c r="A11" s="26" t="s">
        <v>165</v>
      </c>
      <c r="B11" s="26" t="s">
        <v>166</v>
      </c>
      <c r="C11" s="26" t="s">
        <v>167</v>
      </c>
      <c r="D11" s="19">
        <f t="shared" si="0"/>
        <v>127025</v>
      </c>
      <c r="E11" s="27" t="s">
        <v>169</v>
      </c>
      <c r="F11" s="28">
        <v>0</v>
      </c>
      <c r="G11" s="28"/>
      <c r="H11" s="28">
        <v>0</v>
      </c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</row>
    <row r="12" ht="22.8" customHeight="1" spans="1:20">
      <c r="A12" s="26" t="s">
        <v>165</v>
      </c>
      <c r="B12" s="26" t="s">
        <v>170</v>
      </c>
      <c r="C12" s="26" t="s">
        <v>166</v>
      </c>
      <c r="D12" s="19">
        <f t="shared" si="0"/>
        <v>127025</v>
      </c>
      <c r="E12" s="27" t="s">
        <v>172</v>
      </c>
      <c r="F12" s="28">
        <v>0</v>
      </c>
      <c r="G12" s="28"/>
      <c r="H12" s="28">
        <v>0</v>
      </c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</row>
    <row r="13" ht="22.8" customHeight="1" spans="1:20">
      <c r="A13" s="26" t="s">
        <v>165</v>
      </c>
      <c r="B13" s="26" t="s">
        <v>175</v>
      </c>
      <c r="C13" s="26" t="s">
        <v>170</v>
      </c>
      <c r="D13" s="19">
        <f t="shared" si="0"/>
        <v>127025</v>
      </c>
      <c r="E13" s="27" t="s">
        <v>177</v>
      </c>
      <c r="F13" s="28">
        <v>168</v>
      </c>
      <c r="G13" s="28"/>
      <c r="H13" s="28">
        <v>168</v>
      </c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zoomScale="115" zoomScaleNormal="115" workbookViewId="0">
      <selection activeCell="I10" sqref="I10"/>
    </sheetView>
  </sheetViews>
  <sheetFormatPr defaultColWidth="10" defaultRowHeight="14.4"/>
  <cols>
    <col min="1" max="2" width="4.06481481481481" customWidth="1"/>
    <col min="3" max="3" width="4.21296296296296" customWidth="1"/>
    <col min="4" max="4" width="6.11111111111111" customWidth="1"/>
    <col min="5" max="5" width="15.8796296296296" customWidth="1"/>
    <col min="6" max="6" width="9.40740740740741" customWidth="1"/>
    <col min="7" max="7" width="8.59259259259259" customWidth="1"/>
    <col min="8" max="8" width="7.37962962962963" customWidth="1"/>
    <col min="9" max="10" width="7.18518518518519" customWidth="1"/>
    <col min="11" max="11" width="7.37962962962963" customWidth="1"/>
    <col min="12" max="12" width="7.18518518518519" customWidth="1"/>
    <col min="13" max="13" width="7.37962962962963" customWidth="1"/>
    <col min="14" max="16" width="7.18518518518519" customWidth="1"/>
    <col min="17" max="17" width="5.83333333333333" customWidth="1"/>
    <col min="18" max="21" width="7.18518518518519" customWidth="1"/>
    <col min="22" max="22" width="9.76851851851852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部门：127025_益阳市综合中专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1271.3322</v>
      </c>
      <c r="G6" s="13">
        <f>H6+I6+J6</f>
        <v>705.5922</v>
      </c>
      <c r="H6" s="13">
        <f>H8</f>
        <v>691.0027</v>
      </c>
      <c r="I6" s="13">
        <f>I9</f>
        <v>13.7615</v>
      </c>
      <c r="J6" s="13">
        <f>J9</f>
        <v>0.828</v>
      </c>
      <c r="K6" s="13">
        <v>565.74</v>
      </c>
      <c r="L6" s="13"/>
      <c r="M6" s="13">
        <v>565.74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127025</v>
      </c>
      <c r="E7" s="12" t="str">
        <f>'4支出分类(政府预算)'!E7</f>
        <v>益阳市综合中专</v>
      </c>
      <c r="F7" s="31">
        <f>G7+K7</f>
        <v>1271.3322</v>
      </c>
      <c r="G7" s="13">
        <f>H7+I7+J7</f>
        <v>705.5922</v>
      </c>
      <c r="H7" s="13">
        <f>H8</f>
        <v>691.0027</v>
      </c>
      <c r="I7" s="13">
        <f>I9</f>
        <v>13.7615</v>
      </c>
      <c r="J7" s="13">
        <f>J9</f>
        <v>0.828</v>
      </c>
      <c r="K7" s="13">
        <v>565.74</v>
      </c>
      <c r="L7" s="13"/>
      <c r="M7" s="13">
        <v>565.74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5"/>
      <c r="B8" s="25"/>
      <c r="C8" s="25"/>
      <c r="D8" s="23">
        <f t="shared" ref="D8:D13" si="0">D7</f>
        <v>127025</v>
      </c>
      <c r="E8" s="23" t="str">
        <f>E7</f>
        <v>益阳市综合中专</v>
      </c>
      <c r="F8" s="31">
        <f>G8+K8</f>
        <v>1271.3322</v>
      </c>
      <c r="G8" s="13">
        <f>H8+I8+J8</f>
        <v>705.5922</v>
      </c>
      <c r="H8" s="13">
        <f>H9+H10</f>
        <v>691.0027</v>
      </c>
      <c r="I8" s="13">
        <f>I9</f>
        <v>13.7615</v>
      </c>
      <c r="J8" s="13">
        <f>J9</f>
        <v>0.828</v>
      </c>
      <c r="K8" s="13">
        <v>565.74</v>
      </c>
      <c r="L8" s="13"/>
      <c r="M8" s="13">
        <v>565.74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6" t="s">
        <v>165</v>
      </c>
      <c r="B9" s="26" t="s">
        <v>170</v>
      </c>
      <c r="C9" s="26" t="s">
        <v>167</v>
      </c>
      <c r="D9" s="19">
        <f t="shared" si="0"/>
        <v>127025</v>
      </c>
      <c r="E9" s="27" t="s">
        <v>174</v>
      </c>
      <c r="F9" s="24">
        <f>G9+K9</f>
        <v>1067.8884</v>
      </c>
      <c r="G9" s="6">
        <f>H9+I9+J9</f>
        <v>670.1484</v>
      </c>
      <c r="H9" s="6">
        <f>'1收支总表'!F7-H10</f>
        <v>655.5589</v>
      </c>
      <c r="I9" s="6">
        <f>'1收支总表'!F8</f>
        <v>13.7615</v>
      </c>
      <c r="J9" s="6">
        <f>'1收支总表'!F9</f>
        <v>0.828</v>
      </c>
      <c r="K9" s="6">
        <f>M9+Q9</f>
        <v>397.74</v>
      </c>
      <c r="L9" s="6"/>
      <c r="M9" s="6">
        <v>397.74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6" t="s">
        <v>178</v>
      </c>
      <c r="B10" s="26" t="s">
        <v>179</v>
      </c>
      <c r="C10" s="26" t="s">
        <v>180</v>
      </c>
      <c r="D10" s="19">
        <f t="shared" si="0"/>
        <v>127025</v>
      </c>
      <c r="E10" s="27" t="s">
        <v>182</v>
      </c>
      <c r="F10" s="24">
        <f>G10</f>
        <v>35.4438</v>
      </c>
      <c r="G10" s="6">
        <f>H10</f>
        <v>35.4438</v>
      </c>
      <c r="H10" s="6">
        <f>'1收支总表'!D13</f>
        <v>35.4438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6" t="s">
        <v>165</v>
      </c>
      <c r="B11" s="26" t="s">
        <v>166</v>
      </c>
      <c r="C11" s="26" t="s">
        <v>167</v>
      </c>
      <c r="D11" s="19">
        <f t="shared" si="0"/>
        <v>127025</v>
      </c>
      <c r="E11" s="27" t="s">
        <v>169</v>
      </c>
      <c r="F11" s="24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6" t="s">
        <v>165</v>
      </c>
      <c r="B12" s="26" t="s">
        <v>170</v>
      </c>
      <c r="C12" s="26" t="s">
        <v>166</v>
      </c>
      <c r="D12" s="19">
        <f t="shared" si="0"/>
        <v>127025</v>
      </c>
      <c r="E12" s="27" t="s">
        <v>172</v>
      </c>
      <c r="F12" s="24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6" t="s">
        <v>165</v>
      </c>
      <c r="B13" s="26" t="s">
        <v>175</v>
      </c>
      <c r="C13" s="26" t="s">
        <v>170</v>
      </c>
      <c r="D13" s="19">
        <f t="shared" si="0"/>
        <v>127025</v>
      </c>
      <c r="E13" s="27" t="s">
        <v>177</v>
      </c>
      <c r="F13" s="24">
        <v>0</v>
      </c>
      <c r="G13" s="6"/>
      <c r="H13" s="6"/>
      <c r="I13" s="6"/>
      <c r="J13" s="6"/>
      <c r="K13" s="6">
        <v>168</v>
      </c>
      <c r="L13" s="6"/>
      <c r="M13" s="6">
        <v>168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abSelected="1" topLeftCell="A27" workbookViewId="0">
      <selection activeCell="H7" sqref="H7"/>
    </sheetView>
  </sheetViews>
  <sheetFormatPr defaultColWidth="10" defaultRowHeight="14.4" outlineLevelCol="4"/>
  <cols>
    <col min="1" max="1" width="24.5648148148148" customWidth="1"/>
    <col min="2" max="2" width="16.0092592592593" customWidth="1"/>
    <col min="3" max="4" width="22.25" customWidth="1"/>
    <col min="5" max="5" width="0.1296296296296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部门：127025_益阳市综合中专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4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4"/>
    </row>
    <row r="6" ht="20.2" customHeight="1" spans="1:5">
      <c r="A6" s="14" t="s">
        <v>212</v>
      </c>
      <c r="B6" s="13">
        <f>B7</f>
        <v>1116.8911</v>
      </c>
      <c r="C6" s="14" t="s">
        <v>213</v>
      </c>
      <c r="D6" s="31">
        <f>B6</f>
        <v>1116.8911</v>
      </c>
      <c r="E6" s="7"/>
    </row>
    <row r="7" ht="20.2" customHeight="1" spans="1:5">
      <c r="A7" s="5" t="s">
        <v>214</v>
      </c>
      <c r="B7" s="6">
        <f>'1收支总表'!B6</f>
        <v>1116.8911</v>
      </c>
      <c r="C7" s="5" t="s">
        <v>40</v>
      </c>
      <c r="D7" s="24"/>
      <c r="E7" s="7"/>
    </row>
    <row r="8" ht="20.2" customHeight="1" spans="1:5">
      <c r="A8" s="5" t="s">
        <v>215</v>
      </c>
      <c r="B8" s="6"/>
      <c r="C8" s="5" t="s">
        <v>44</v>
      </c>
      <c r="D8" s="24"/>
      <c r="E8" s="7"/>
    </row>
    <row r="9" ht="31.05" customHeight="1" spans="1:5">
      <c r="A9" s="5" t="s">
        <v>47</v>
      </c>
      <c r="B9" s="6"/>
      <c r="C9" s="5" t="s">
        <v>48</v>
      </c>
      <c r="D9" s="24"/>
      <c r="E9" s="7"/>
    </row>
    <row r="10" ht="20.2" customHeight="1" spans="1:5">
      <c r="A10" s="5" t="s">
        <v>216</v>
      </c>
      <c r="B10" s="6"/>
      <c r="C10" s="5" t="s">
        <v>52</v>
      </c>
      <c r="D10" s="24"/>
      <c r="E10" s="7"/>
    </row>
    <row r="11" ht="20.2" customHeight="1" spans="1:5">
      <c r="A11" s="5" t="s">
        <v>217</v>
      </c>
      <c r="B11" s="6"/>
      <c r="C11" s="5" t="s">
        <v>56</v>
      </c>
      <c r="D11" s="24">
        <f>B7</f>
        <v>1116.8911</v>
      </c>
      <c r="E11" s="7"/>
    </row>
    <row r="12" ht="20.2" customHeight="1" spans="1:5">
      <c r="A12" s="5" t="s">
        <v>218</v>
      </c>
      <c r="B12" s="6"/>
      <c r="C12" s="5" t="s">
        <v>60</v>
      </c>
      <c r="D12" s="24"/>
      <c r="E12" s="7"/>
    </row>
    <row r="13" ht="20.2" customHeight="1" spans="1:5">
      <c r="A13" s="14" t="s">
        <v>219</v>
      </c>
      <c r="B13" s="13"/>
      <c r="C13" s="5" t="s">
        <v>64</v>
      </c>
      <c r="D13" s="24"/>
      <c r="E13" s="7"/>
    </row>
    <row r="14" ht="20.2" customHeight="1" spans="1:5">
      <c r="A14" s="5" t="s">
        <v>214</v>
      </c>
      <c r="B14" s="6"/>
      <c r="C14" s="5" t="s">
        <v>68</v>
      </c>
      <c r="D14" s="24"/>
      <c r="E14" s="7"/>
    </row>
    <row r="15" ht="20.2" customHeight="1" spans="1:5">
      <c r="A15" s="5" t="s">
        <v>216</v>
      </c>
      <c r="B15" s="6"/>
      <c r="C15" s="5" t="s">
        <v>72</v>
      </c>
      <c r="D15" s="24"/>
      <c r="E15" s="7"/>
    </row>
    <row r="16" ht="20.2" customHeight="1" spans="1:5">
      <c r="A16" s="5" t="s">
        <v>217</v>
      </c>
      <c r="B16" s="6"/>
      <c r="C16" s="5" t="s">
        <v>76</v>
      </c>
      <c r="D16" s="24"/>
      <c r="E16" s="7"/>
    </row>
    <row r="17" ht="20.2" customHeight="1" spans="1:5">
      <c r="A17" s="5" t="s">
        <v>218</v>
      </c>
      <c r="B17" s="6"/>
      <c r="C17" s="5" t="s">
        <v>80</v>
      </c>
      <c r="D17" s="24"/>
      <c r="E17" s="7"/>
    </row>
    <row r="18" ht="20.2" customHeight="1" spans="1:5">
      <c r="A18" s="5"/>
      <c r="B18" s="6"/>
      <c r="C18" s="5" t="s">
        <v>84</v>
      </c>
      <c r="D18" s="24"/>
      <c r="E18" s="7"/>
    </row>
    <row r="19" ht="20.2" customHeight="1" spans="1:5">
      <c r="A19" s="5"/>
      <c r="B19" s="5"/>
      <c r="C19" s="5" t="s">
        <v>88</v>
      </c>
      <c r="D19" s="24"/>
      <c r="E19" s="7"/>
    </row>
    <row r="20" ht="20.2" customHeight="1" spans="1:5">
      <c r="A20" s="5"/>
      <c r="B20" s="5"/>
      <c r="C20" s="5" t="s">
        <v>92</v>
      </c>
      <c r="D20" s="24"/>
      <c r="E20" s="7"/>
    </row>
    <row r="21" ht="20.2" customHeight="1" spans="1:5">
      <c r="A21" s="5"/>
      <c r="B21" s="5"/>
      <c r="C21" s="5" t="s">
        <v>96</v>
      </c>
      <c r="D21" s="24"/>
      <c r="E21" s="7"/>
    </row>
    <row r="22" ht="20.2" customHeight="1" spans="1:5">
      <c r="A22" s="5"/>
      <c r="B22" s="5"/>
      <c r="C22" s="5" t="s">
        <v>99</v>
      </c>
      <c r="D22" s="24"/>
      <c r="E22" s="7"/>
    </row>
    <row r="23" ht="20.2" customHeight="1" spans="1:5">
      <c r="A23" s="5"/>
      <c r="B23" s="5"/>
      <c r="C23" s="5" t="s">
        <v>102</v>
      </c>
      <c r="D23" s="24"/>
      <c r="E23" s="7"/>
    </row>
    <row r="24" ht="20.2" customHeight="1" spans="1:5">
      <c r="A24" s="5"/>
      <c r="B24" s="5"/>
      <c r="C24" s="5" t="s">
        <v>104</v>
      </c>
      <c r="D24" s="24"/>
      <c r="E24" s="7"/>
    </row>
    <row r="25" ht="20.2" customHeight="1" spans="1:5">
      <c r="A25" s="5"/>
      <c r="B25" s="5"/>
      <c r="C25" s="5" t="s">
        <v>106</v>
      </c>
      <c r="D25" s="24"/>
      <c r="E25" s="7"/>
    </row>
    <row r="26" ht="20.2" customHeight="1" spans="1:5">
      <c r="A26" s="5"/>
      <c r="B26" s="5"/>
      <c r="C26" s="5" t="s">
        <v>108</v>
      </c>
      <c r="D26" s="24"/>
      <c r="E26" s="7"/>
    </row>
    <row r="27" ht="20.2" customHeight="1" spans="1:5">
      <c r="A27" s="5"/>
      <c r="B27" s="5"/>
      <c r="C27" s="5" t="s">
        <v>110</v>
      </c>
      <c r="D27" s="24"/>
      <c r="E27" s="7"/>
    </row>
    <row r="28" ht="20.2" customHeight="1" spans="1:5">
      <c r="A28" s="5"/>
      <c r="B28" s="5"/>
      <c r="C28" s="5" t="s">
        <v>112</v>
      </c>
      <c r="D28" s="24"/>
      <c r="E28" s="7"/>
    </row>
    <row r="29" ht="20.2" customHeight="1" spans="1:5">
      <c r="A29" s="5"/>
      <c r="B29" s="5"/>
      <c r="C29" s="5" t="s">
        <v>114</v>
      </c>
      <c r="D29" s="24"/>
      <c r="E29" s="7"/>
    </row>
    <row r="30" ht="20.2" customHeight="1" spans="1:5">
      <c r="A30" s="5"/>
      <c r="B30" s="5"/>
      <c r="C30" s="5" t="s">
        <v>116</v>
      </c>
      <c r="D30" s="24"/>
      <c r="E30" s="7"/>
    </row>
    <row r="31" ht="20.2" customHeight="1" spans="1:5">
      <c r="A31" s="5"/>
      <c r="B31" s="5"/>
      <c r="C31" s="5" t="s">
        <v>118</v>
      </c>
      <c r="D31" s="24"/>
      <c r="E31" s="7"/>
    </row>
    <row r="32" ht="20.2" customHeight="1" spans="1:5">
      <c r="A32" s="5"/>
      <c r="B32" s="5"/>
      <c r="C32" s="5" t="s">
        <v>120</v>
      </c>
      <c r="D32" s="24"/>
      <c r="E32" s="7"/>
    </row>
    <row r="33" ht="20.2" customHeight="1" spans="1:5">
      <c r="A33" s="5"/>
      <c r="B33" s="5"/>
      <c r="C33" s="5" t="s">
        <v>122</v>
      </c>
      <c r="D33" s="24"/>
      <c r="E33" s="7"/>
    </row>
    <row r="34" ht="20.2" customHeight="1" spans="1:5">
      <c r="A34" s="5"/>
      <c r="B34" s="5"/>
      <c r="C34" s="5" t="s">
        <v>123</v>
      </c>
      <c r="D34" s="24"/>
      <c r="E34" s="7"/>
    </row>
    <row r="35" ht="20.2" customHeight="1" spans="1:5">
      <c r="A35" s="5"/>
      <c r="B35" s="5"/>
      <c r="C35" s="5" t="s">
        <v>124</v>
      </c>
      <c r="D35" s="24"/>
      <c r="E35" s="7"/>
    </row>
    <row r="36" ht="20.2" customHeight="1" spans="1:5">
      <c r="A36" s="5"/>
      <c r="B36" s="5"/>
      <c r="C36" s="5" t="s">
        <v>125</v>
      </c>
      <c r="D36" s="24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5"/>
    </row>
    <row r="39" ht="20.2" customHeight="1" spans="1:5">
      <c r="A39" s="14"/>
      <c r="B39" s="14"/>
      <c r="C39" s="14"/>
      <c r="D39" s="14"/>
      <c r="E39" s="45"/>
    </row>
    <row r="40" ht="20.2" customHeight="1" spans="1:5">
      <c r="A40" s="18" t="s">
        <v>221</v>
      </c>
      <c r="B40" s="13">
        <f>B7</f>
        <v>1116.8911</v>
      </c>
      <c r="C40" s="18" t="s">
        <v>222</v>
      </c>
      <c r="D40" s="31">
        <f>B40</f>
        <v>1116.8911</v>
      </c>
      <c r="E40" s="45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opLeftCell="A2" workbookViewId="0">
      <selection activeCell="C9" sqref="C9"/>
    </sheetView>
  </sheetViews>
  <sheetFormatPr defaultColWidth="10" defaultRowHeight="14.4"/>
  <cols>
    <col min="1" max="1" width="24.1574074074074" customWidth="1"/>
    <col min="2" max="2" width="23.6203703703704" customWidth="1"/>
    <col min="3" max="3" width="16.4166666666667" customWidth="1"/>
    <col min="4" max="4" width="11.537037037037" customWidth="1"/>
    <col min="5" max="5" width="16.1481481481481" customWidth="1"/>
    <col min="6" max="7" width="16.4166666666667" customWidth="1"/>
    <col min="8" max="8" width="15.2037037037037" customWidth="1"/>
    <col min="9" max="9" width="21.8518518518519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部门：127025_益阳市综合中专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9" t="s">
        <v>155</v>
      </c>
      <c r="B5" s="29" t="s">
        <v>156</v>
      </c>
      <c r="C5" s="29" t="s">
        <v>135</v>
      </c>
      <c r="D5" s="29" t="s">
        <v>157</v>
      </c>
      <c r="E5" s="29"/>
      <c r="F5" s="29"/>
      <c r="G5" s="29"/>
      <c r="H5" s="29"/>
      <c r="I5" s="29" t="s">
        <v>158</v>
      </c>
    </row>
    <row r="6" ht="25.85" customHeight="1" spans="1:9">
      <c r="A6" s="29"/>
      <c r="B6" s="29"/>
      <c r="C6" s="29"/>
      <c r="D6" s="29" t="s">
        <v>137</v>
      </c>
      <c r="E6" s="29" t="s">
        <v>223</v>
      </c>
      <c r="F6" s="29"/>
      <c r="G6" s="29" t="s">
        <v>224</v>
      </c>
      <c r="H6" s="29" t="s">
        <v>225</v>
      </c>
      <c r="I6" s="29"/>
    </row>
    <row r="7" ht="39.65" customHeight="1" spans="1:9">
      <c r="A7" s="29"/>
      <c r="B7" s="29"/>
      <c r="C7" s="29"/>
      <c r="D7" s="29"/>
      <c r="E7" s="29" t="s">
        <v>203</v>
      </c>
      <c r="F7" s="29" t="s">
        <v>195</v>
      </c>
      <c r="G7" s="29"/>
      <c r="H7" s="29"/>
      <c r="I7" s="29"/>
    </row>
    <row r="8" ht="23.25" customHeight="1" spans="1:9">
      <c r="A8" s="30"/>
      <c r="B8" s="30" t="s">
        <v>135</v>
      </c>
      <c r="C8" s="40">
        <f>C9</f>
        <v>1116.8911</v>
      </c>
      <c r="D8" s="40">
        <f>D9</f>
        <v>670.1484</v>
      </c>
      <c r="E8" s="40">
        <f>E9</f>
        <v>655.5589</v>
      </c>
      <c r="F8" s="40">
        <f>F14</f>
        <v>0.828</v>
      </c>
      <c r="G8" s="40"/>
      <c r="H8" s="40">
        <f>H12</f>
        <v>13.7615</v>
      </c>
      <c r="I8" s="40">
        <f>I12</f>
        <v>446.7427</v>
      </c>
    </row>
    <row r="9" ht="26.05" customHeight="1" spans="1:9">
      <c r="A9" s="32">
        <f>'5支出分类（部门预算）'!D7</f>
        <v>127025</v>
      </c>
      <c r="B9" s="32" t="str">
        <f>'5支出分类（部门预算）'!E7</f>
        <v>益阳市综合中专</v>
      </c>
      <c r="C9" s="40">
        <f>C10</f>
        <v>1116.8911</v>
      </c>
      <c r="D9" s="40">
        <f>D10</f>
        <v>670.1484</v>
      </c>
      <c r="E9" s="40">
        <f>E10</f>
        <v>655.5589</v>
      </c>
      <c r="F9" s="40">
        <f>F14</f>
        <v>0.828</v>
      </c>
      <c r="G9" s="40"/>
      <c r="H9" s="40">
        <f>H12</f>
        <v>13.7615</v>
      </c>
      <c r="I9" s="40">
        <f>I12</f>
        <v>446.7427</v>
      </c>
    </row>
    <row r="10" ht="26.05" customHeight="1" spans="1:9">
      <c r="A10" s="41">
        <f>A9</f>
        <v>127025</v>
      </c>
      <c r="B10" s="41" t="str">
        <f>B9</f>
        <v>益阳市综合中专</v>
      </c>
      <c r="C10" s="40">
        <f>C11</f>
        <v>1116.8911</v>
      </c>
      <c r="D10" s="40">
        <f>D11</f>
        <v>670.1484</v>
      </c>
      <c r="E10" s="40">
        <f>E12</f>
        <v>655.5589</v>
      </c>
      <c r="F10" s="40">
        <f>F14</f>
        <v>0.828</v>
      </c>
      <c r="G10" s="40"/>
      <c r="H10" s="40">
        <f>H12</f>
        <v>13.7615</v>
      </c>
      <c r="I10" s="40">
        <f>I12</f>
        <v>446.7427</v>
      </c>
    </row>
    <row r="11" ht="25.85" customHeight="1" spans="1:9">
      <c r="A11" s="41" t="s">
        <v>165</v>
      </c>
      <c r="B11" s="32" t="s">
        <v>226</v>
      </c>
      <c r="C11" s="40">
        <f>C12</f>
        <v>1116.8911</v>
      </c>
      <c r="D11" s="40">
        <f>D12</f>
        <v>670.1484</v>
      </c>
      <c r="E11" s="40">
        <f>E12</f>
        <v>655.5589</v>
      </c>
      <c r="F11" s="40">
        <f>F14</f>
        <v>0.828</v>
      </c>
      <c r="G11" s="40"/>
      <c r="H11" s="40">
        <f>H12</f>
        <v>13.7615</v>
      </c>
      <c r="I11" s="40">
        <f>I12</f>
        <v>446.7427</v>
      </c>
    </row>
    <row r="12" ht="26.7" customHeight="1" spans="1:9">
      <c r="A12" s="41" t="s">
        <v>227</v>
      </c>
      <c r="B12" s="32" t="s">
        <v>228</v>
      </c>
      <c r="C12" s="40">
        <f>C14</f>
        <v>1116.8911</v>
      </c>
      <c r="D12" s="40">
        <f>D14</f>
        <v>670.1484</v>
      </c>
      <c r="E12" s="40">
        <f>E14</f>
        <v>655.5589</v>
      </c>
      <c r="F12" s="40">
        <f>F14</f>
        <v>0.828</v>
      </c>
      <c r="G12" s="40"/>
      <c r="H12" s="40">
        <f>H14</f>
        <v>13.7615</v>
      </c>
      <c r="I12" s="40">
        <f>I14</f>
        <v>446.7427</v>
      </c>
    </row>
    <row r="13" ht="30.15" customHeight="1" spans="1:9">
      <c r="A13" s="41" t="s">
        <v>229</v>
      </c>
      <c r="B13" s="32" t="s">
        <v>230</v>
      </c>
      <c r="C13" s="42">
        <v>0</v>
      </c>
      <c r="D13" s="42"/>
      <c r="E13" s="43"/>
      <c r="F13" s="43"/>
      <c r="G13" s="43"/>
      <c r="H13" s="43"/>
      <c r="I13" s="43">
        <v>0</v>
      </c>
    </row>
    <row r="14" ht="30.15" customHeight="1" spans="1:9">
      <c r="A14" s="41" t="s">
        <v>231</v>
      </c>
      <c r="B14" s="32" t="s">
        <v>232</v>
      </c>
      <c r="C14" s="42">
        <f>D14+I14</f>
        <v>1116.8911</v>
      </c>
      <c r="D14" s="42">
        <f>E14+F14+H14</f>
        <v>670.1484</v>
      </c>
      <c r="E14" s="43">
        <f>VLOOKUP(封面!E5,[2]Sheet1!$A:$K,11,0)/10000</f>
        <v>655.5589</v>
      </c>
      <c r="F14" s="43" cm="1">
        <f t="array" ref="F14">SUM(IF([2]Sheet1!$A:$A=封面!E5,[2]Sheet1!$N:$O,0))/10000</f>
        <v>0.828</v>
      </c>
      <c r="G14" s="43"/>
      <c r="H14" s="43" cm="1">
        <f t="array" ref="H14">SUM(IF([2]Sheet1!$A:$A=封面!E5,[2]Sheet1!$P:$T,0))/10000</f>
        <v>13.7615</v>
      </c>
      <c r="I14" s="43" cm="1">
        <f t="array" ref="I14">SUM(IF([2]Sheet1!$A:$A=封面!E5,[2]Sheet1!$U:$AH,0))/10000</f>
        <v>446.7427</v>
      </c>
    </row>
    <row r="15" ht="26.7" customHeight="1" spans="1:9">
      <c r="A15" s="41" t="s">
        <v>233</v>
      </c>
      <c r="B15" s="32" t="s">
        <v>234</v>
      </c>
      <c r="C15" s="40">
        <v>0</v>
      </c>
      <c r="D15" s="40"/>
      <c r="E15" s="40"/>
      <c r="F15" s="40"/>
      <c r="G15" s="40"/>
      <c r="H15" s="40"/>
      <c r="I15" s="40">
        <v>0</v>
      </c>
    </row>
    <row r="16" ht="30.15" customHeight="1" spans="1:9">
      <c r="A16" s="41" t="s">
        <v>235</v>
      </c>
      <c r="B16" s="32" t="s">
        <v>236</v>
      </c>
      <c r="C16" s="42">
        <v>0</v>
      </c>
      <c r="D16" s="42"/>
      <c r="E16" s="43"/>
      <c r="F16" s="43"/>
      <c r="G16" s="43"/>
      <c r="H16" s="43"/>
      <c r="I16" s="43">
        <v>0</v>
      </c>
    </row>
    <row r="17" ht="26.7" customHeight="1" spans="1:9">
      <c r="A17" s="41" t="s">
        <v>237</v>
      </c>
      <c r="B17" s="32" t="s">
        <v>238</v>
      </c>
      <c r="C17" s="40">
        <v>0</v>
      </c>
      <c r="D17" s="40"/>
      <c r="E17" s="40"/>
      <c r="F17" s="40"/>
      <c r="G17" s="40"/>
      <c r="H17" s="40"/>
      <c r="I17" s="40">
        <v>0</v>
      </c>
    </row>
    <row r="18" ht="30.15" customHeight="1" spans="1:9">
      <c r="A18" s="41" t="s">
        <v>239</v>
      </c>
      <c r="B18" s="32" t="s">
        <v>240</v>
      </c>
      <c r="C18" s="42">
        <v>0</v>
      </c>
      <c r="D18" s="42"/>
      <c r="E18" s="43"/>
      <c r="F18" s="43"/>
      <c r="G18" s="43"/>
      <c r="H18" s="43"/>
      <c r="I18" s="43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轻舞飞扬</cp:lastModifiedBy>
  <dcterms:created xsi:type="dcterms:W3CDTF">2024-10-14T14:42:00Z</dcterms:created>
  <dcterms:modified xsi:type="dcterms:W3CDTF">2024-10-19T15:44:29Z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285A1C48A4664A46A69A23465A273554_13</vt:lpwstr>
  </property>
  <property fmtid="{D5CDD505-2E9C-101B-9397-08002B2CF9AE}" pid="3" name="KSOProductBuildVer">
    <vt:lpwstr>2052-12.1.0.17140</vt:lpwstr>
  </property>
</Properties>
</file>